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styles.xml" ContentType="application/vnd.openxmlformats-officedocument.spreadsheetml.styles+xml"/>
  <Override PartName="/xl/worksheets/sheet2.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docProps/app.xml" ContentType="application/vnd.openxmlformats-officedocument.extended-properties+xml"/>
  <Override PartName="/xl/calcChain.xml" ContentType="application/vnd.openxmlformats-officedocument.spreadsheetml.calcChain+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72" yWindow="396" windowWidth="18084" windowHeight="6372"/>
  </bookViews>
  <sheets>
    <sheet name="Hoja1" sheetId="1" r:id="rId1"/>
    <sheet name="Hoja2" sheetId="2" r:id="rId2"/>
  </sheets>
  <calcPr calcId="145621"/>
</workbook>
</file>

<file path=xl/calcChain.xml><?xml version="1.0" encoding="utf-8"?>
<calcChain xmlns="http://schemas.openxmlformats.org/spreadsheetml/2006/main">
  <c r="G99" i="1" l="1"/>
  <c r="E99" i="1"/>
  <c r="D99" i="1"/>
  <c r="F99" i="1"/>
  <c r="F100" i="1"/>
  <c r="D100" i="1"/>
  <c r="E100" i="1"/>
  <c r="G100" i="1"/>
  <c r="D98" i="1"/>
  <c r="G98" i="1"/>
  <c r="F98" i="1"/>
  <c r="O99" i="1"/>
  <c r="H99" i="1" l="1"/>
  <c r="F94" i="1"/>
  <c r="D94" i="1"/>
  <c r="E94" i="1"/>
  <c r="O33" i="1" l="1"/>
  <c r="E33" i="1" s="1"/>
  <c r="H21" i="1"/>
  <c r="H22" i="1"/>
  <c r="H23" i="1"/>
  <c r="H24" i="1"/>
  <c r="H41" i="1"/>
  <c r="O94" i="1"/>
  <c r="O97" i="1"/>
  <c r="F97" i="1" l="1"/>
  <c r="E97" i="1"/>
  <c r="H94" i="1"/>
  <c r="D97" i="1"/>
  <c r="O68" i="1"/>
  <c r="E68" i="1" s="1"/>
  <c r="H68" i="1" s="1"/>
  <c r="H97" i="1" l="1"/>
  <c r="I61" i="2"/>
  <c r="I60" i="2"/>
  <c r="I59" i="2"/>
  <c r="I58" i="2"/>
  <c r="I57" i="2"/>
  <c r="I56" i="2"/>
  <c r="I55" i="2"/>
  <c r="I54" i="2"/>
  <c r="I53" i="2"/>
  <c r="I52" i="2"/>
  <c r="I51" i="2"/>
  <c r="I50" i="2"/>
  <c r="I49" i="2"/>
  <c r="I48" i="2"/>
  <c r="I47" i="2"/>
  <c r="I46" i="2"/>
  <c r="I45" i="2"/>
  <c r="I44" i="2"/>
  <c r="I43" i="2"/>
  <c r="I42" i="2"/>
  <c r="I40" i="2"/>
  <c r="I39" i="2"/>
  <c r="I38" i="2"/>
  <c r="I37" i="2"/>
  <c r="I36" i="2"/>
  <c r="I35" i="2"/>
  <c r="I34" i="2"/>
  <c r="I33" i="2"/>
  <c r="I32" i="2"/>
  <c r="I31" i="2"/>
  <c r="I30" i="2"/>
  <c r="I29" i="2"/>
  <c r="I28" i="2"/>
  <c r="I27" i="2"/>
  <c r="I26" i="2"/>
  <c r="I25" i="2"/>
  <c r="I24" i="2"/>
  <c r="I23" i="2"/>
  <c r="I22" i="2"/>
  <c r="I21" i="2"/>
  <c r="I20" i="2"/>
  <c r="I19" i="2"/>
  <c r="I18" i="2"/>
  <c r="I17" i="2"/>
  <c r="I16" i="2"/>
  <c r="I15" i="2"/>
  <c r="I14" i="2"/>
  <c r="I13" i="2"/>
  <c r="I12" i="2"/>
  <c r="I11" i="2"/>
  <c r="I10" i="2"/>
  <c r="I9" i="2"/>
  <c r="I8" i="2"/>
  <c r="I7" i="2"/>
  <c r="I6" i="2"/>
  <c r="I5" i="2"/>
  <c r="I4" i="2"/>
  <c r="I3" i="2"/>
  <c r="O38" i="1" l="1"/>
  <c r="F38" i="1" s="1"/>
  <c r="O36" i="1"/>
  <c r="D36" i="1" s="1"/>
  <c r="O35" i="1"/>
  <c r="F35" i="1" s="1"/>
  <c r="O34" i="1"/>
  <c r="E34" i="1" s="1"/>
  <c r="O32" i="1"/>
  <c r="E32" i="1" s="1"/>
  <c r="O31" i="1"/>
  <c r="O29" i="1"/>
  <c r="E29" i="1" s="1"/>
  <c r="O28" i="1"/>
  <c r="F28" i="1" s="1"/>
  <c r="I13" i="1"/>
  <c r="J13" i="1"/>
  <c r="K13" i="1"/>
  <c r="L13" i="1"/>
  <c r="M13" i="1" s="1"/>
  <c r="K14" i="1"/>
  <c r="L14" i="1" s="1"/>
  <c r="M14" i="1" s="1"/>
  <c r="N14" i="1" s="1"/>
  <c r="I15" i="1"/>
  <c r="J15" i="1"/>
  <c r="K15" i="1" s="1"/>
  <c r="I16" i="1"/>
  <c r="J16" i="1"/>
  <c r="K16" i="1"/>
  <c r="L16" i="1"/>
  <c r="M16" i="1" s="1"/>
  <c r="I17" i="1"/>
  <c r="J17" i="1"/>
  <c r="K17" i="1" s="1"/>
  <c r="L17" i="1" s="1"/>
  <c r="M17" i="1" s="1"/>
  <c r="N17" i="1" s="1"/>
  <c r="I18" i="1"/>
  <c r="J18" i="1"/>
  <c r="K18" i="1"/>
  <c r="L18" i="1"/>
  <c r="M18" i="1" s="1"/>
  <c r="N18" i="1" s="1"/>
  <c r="I19" i="1"/>
  <c r="J19" i="1"/>
  <c r="K19" i="1" s="1"/>
  <c r="L19" i="1" s="1"/>
  <c r="M19" i="1" s="1"/>
  <c r="N19" i="1" s="1"/>
  <c r="I20" i="1"/>
  <c r="J20" i="1"/>
  <c r="K20" i="1"/>
  <c r="L20" i="1"/>
  <c r="M20" i="1" s="1"/>
  <c r="K21" i="1"/>
  <c r="O63" i="1"/>
  <c r="E63" i="1" s="1"/>
  <c r="H63" i="1" s="1"/>
  <c r="O37" i="1"/>
  <c r="O40" i="1"/>
  <c r="O55" i="1"/>
  <c r="F55" i="1" s="1"/>
  <c r="O76" i="1"/>
  <c r="O77" i="1"/>
  <c r="O78" i="1"/>
  <c r="O65" i="1"/>
  <c r="O66" i="1"/>
  <c r="O67" i="1"/>
  <c r="O69" i="1"/>
  <c r="D69" i="1" s="1"/>
  <c r="O70" i="1"/>
  <c r="D70" i="1" s="1"/>
  <c r="O71" i="1"/>
  <c r="D71" i="1" s="1"/>
  <c r="O72" i="1"/>
  <c r="F72" i="1" s="1"/>
  <c r="O73" i="1"/>
  <c r="O74" i="1"/>
  <c r="D74" i="1" s="1"/>
  <c r="O75" i="1"/>
  <c r="O62" i="1"/>
  <c r="F62" i="1" s="1"/>
  <c r="O64" i="1"/>
  <c r="O61" i="1"/>
  <c r="F61" i="1" s="1"/>
  <c r="O100" i="1"/>
  <c r="I102" i="1"/>
  <c r="H101" i="1"/>
  <c r="O21" i="1"/>
  <c r="O22" i="1"/>
  <c r="O23" i="1"/>
  <c r="O24" i="1"/>
  <c r="O25" i="1"/>
  <c r="D25" i="1" s="1"/>
  <c r="O26" i="1"/>
  <c r="D26" i="1" s="1"/>
  <c r="O27" i="1"/>
  <c r="O30" i="1"/>
  <c r="O39" i="1"/>
  <c r="F39" i="1" s="1"/>
  <c r="O41" i="1"/>
  <c r="O43" i="1"/>
  <c r="O44" i="1"/>
  <c r="O45" i="1"/>
  <c r="O46" i="1"/>
  <c r="O47" i="1"/>
  <c r="O48" i="1"/>
  <c r="O49" i="1"/>
  <c r="O50" i="1"/>
  <c r="F50" i="1" s="1"/>
  <c r="O51" i="1"/>
  <c r="O52" i="1"/>
  <c r="O53" i="1"/>
  <c r="O54" i="1"/>
  <c r="F54" i="1" s="1"/>
  <c r="O56" i="1"/>
  <c r="O57" i="1"/>
  <c r="O58" i="1"/>
  <c r="O59" i="1"/>
  <c r="O60" i="1"/>
  <c r="O98" i="1"/>
  <c r="O42" i="1"/>
  <c r="O93" i="1"/>
  <c r="O79" i="1"/>
  <c r="O80" i="1"/>
  <c r="O81" i="1"/>
  <c r="O82" i="1"/>
  <c r="O83" i="1"/>
  <c r="O84" i="1"/>
  <c r="O85" i="1"/>
  <c r="O86" i="1"/>
  <c r="O87" i="1"/>
  <c r="O88" i="1"/>
  <c r="O89" i="1"/>
  <c r="O90" i="1"/>
  <c r="O91" i="1"/>
  <c r="O92" i="1"/>
  <c r="O95" i="1"/>
  <c r="O96" i="1"/>
  <c r="O101" i="1"/>
  <c r="D96" i="1" l="1"/>
  <c r="E96" i="1"/>
  <c r="F96" i="1"/>
  <c r="G96" i="1"/>
  <c r="E93" i="1"/>
  <c r="F93" i="1"/>
  <c r="D65" i="1"/>
  <c r="E65" i="1"/>
  <c r="E98" i="1"/>
  <c r="N16" i="1"/>
  <c r="O16" i="1" s="1"/>
  <c r="L15" i="1"/>
  <c r="K102" i="1"/>
  <c r="O13" i="1"/>
  <c r="N13" i="1"/>
  <c r="N20" i="1"/>
  <c r="O20" i="1" s="1"/>
  <c r="D82" i="1"/>
  <c r="F82" i="1"/>
  <c r="E82" i="1"/>
  <c r="F53" i="1"/>
  <c r="E53" i="1"/>
  <c r="O19" i="1"/>
  <c r="E52" i="1"/>
  <c r="F52" i="1"/>
  <c r="F30" i="1"/>
  <c r="E30" i="1"/>
  <c r="D30" i="1"/>
  <c r="E42" i="1"/>
  <c r="D42" i="1"/>
  <c r="F42" i="1"/>
  <c r="F91" i="1"/>
  <c r="E91" i="1"/>
  <c r="O18" i="1"/>
  <c r="O14" i="1"/>
  <c r="F51" i="1"/>
  <c r="E51" i="1"/>
  <c r="D27" i="1"/>
  <c r="F27" i="1"/>
  <c r="J102" i="1"/>
  <c r="D64" i="1"/>
  <c r="E64" i="1"/>
  <c r="F73" i="1"/>
  <c r="E73" i="1"/>
  <c r="D73" i="1"/>
  <c r="D40" i="1"/>
  <c r="F40" i="1"/>
  <c r="E40" i="1"/>
  <c r="F31" i="1"/>
  <c r="E31" i="1"/>
  <c r="F79" i="1"/>
  <c r="E79" i="1"/>
  <c r="D79" i="1"/>
  <c r="O17" i="1"/>
  <c r="D93" i="1"/>
  <c r="E37" i="1"/>
  <c r="D37" i="1"/>
  <c r="F37" i="1"/>
  <c r="H100" i="1" l="1"/>
  <c r="D16" i="1"/>
  <c r="F16" i="1"/>
  <c r="E16" i="1"/>
  <c r="H16" i="1" s="1"/>
  <c r="H93" i="1"/>
  <c r="H98" i="1"/>
  <c r="E17" i="1"/>
  <c r="F17" i="1"/>
  <c r="D17" i="1"/>
  <c r="F19" i="1"/>
  <c r="D19" i="1"/>
  <c r="E19" i="1"/>
  <c r="H19" i="1" s="1"/>
  <c r="M15" i="1"/>
  <c r="L102" i="1"/>
  <c r="F13" i="1"/>
  <c r="D13" i="1"/>
  <c r="E13" i="1"/>
  <c r="D18" i="1"/>
  <c r="F18" i="1"/>
  <c r="E18" i="1"/>
  <c r="D20" i="1"/>
  <c r="E20" i="1"/>
  <c r="F20" i="1"/>
  <c r="G20" i="1"/>
  <c r="H14" i="1"/>
  <c r="H25" i="1"/>
  <c r="H26" i="1"/>
  <c r="H27" i="1"/>
  <c r="H28" i="1"/>
  <c r="H30" i="1"/>
  <c r="H31" i="1"/>
  <c r="H29" i="1"/>
  <c r="H32" i="1"/>
  <c r="H33" i="1"/>
  <c r="H34" i="1"/>
  <c r="H35" i="1"/>
  <c r="H36" i="1"/>
  <c r="H37" i="1"/>
  <c r="H38" i="1"/>
  <c r="H39" i="1"/>
  <c r="H40" i="1"/>
  <c r="H42" i="1"/>
  <c r="H49" i="1"/>
  <c r="H47" i="1"/>
  <c r="H48" i="1"/>
  <c r="H43" i="1"/>
  <c r="H44" i="1"/>
  <c r="H46" i="1"/>
  <c r="H45" i="1"/>
  <c r="H50" i="1"/>
  <c r="H51" i="1"/>
  <c r="H53" i="1"/>
  <c r="H54" i="1"/>
  <c r="H55" i="1"/>
  <c r="H58" i="1"/>
  <c r="H56" i="1"/>
  <c r="H59" i="1"/>
  <c r="H60" i="1"/>
  <c r="H57" i="1"/>
  <c r="H61" i="1"/>
  <c r="H62" i="1"/>
  <c r="H64" i="1"/>
  <c r="H65" i="1"/>
  <c r="H67" i="1"/>
  <c r="H66" i="1"/>
  <c r="H69" i="1"/>
  <c r="H70" i="1"/>
  <c r="H71" i="1"/>
  <c r="H72" i="1"/>
  <c r="H73" i="1"/>
  <c r="H74" i="1"/>
  <c r="H75" i="1"/>
  <c r="H76" i="1"/>
  <c r="H78" i="1"/>
  <c r="H77" i="1"/>
  <c r="H79" i="1"/>
  <c r="H80" i="1"/>
  <c r="H81" i="1"/>
  <c r="H82" i="1"/>
  <c r="H86" i="1"/>
  <c r="H88" i="1"/>
  <c r="H84" i="1"/>
  <c r="H89" i="1"/>
  <c r="H85" i="1"/>
  <c r="H90" i="1"/>
  <c r="H87" i="1"/>
  <c r="H83" i="1"/>
  <c r="H91" i="1"/>
  <c r="H92" i="1"/>
  <c r="G102" i="1"/>
  <c r="H52" i="1"/>
  <c r="H95" i="1"/>
  <c r="H96" i="1"/>
  <c r="H17" i="1" l="1"/>
  <c r="H20" i="1"/>
  <c r="H18" i="1"/>
  <c r="N15" i="1"/>
  <c r="N102" i="1" s="1"/>
  <c r="M102" i="1"/>
  <c r="H13" i="1"/>
  <c r="O15" i="1" l="1"/>
  <c r="E15" i="1"/>
  <c r="E102" i="1" s="1"/>
  <c r="F15" i="1"/>
  <c r="F102" i="1" s="1"/>
  <c r="D15" i="1"/>
  <c r="O102" i="1"/>
  <c r="D102" i="1" l="1"/>
  <c r="H15" i="1"/>
  <c r="H102" i="1" s="1"/>
</calcChain>
</file>

<file path=xl/sharedStrings.xml><?xml version="1.0" encoding="utf-8"?>
<sst xmlns="http://schemas.openxmlformats.org/spreadsheetml/2006/main" count="176" uniqueCount="143">
  <si>
    <t>Project implementation period: 60 month</t>
  </si>
  <si>
    <t>*Insert actual year</t>
  </si>
  <si>
    <t>From:</t>
  </si>
  <si>
    <t>Add additional years as required</t>
  </si>
  <si>
    <t>To:</t>
  </si>
  <si>
    <t>Expenditure by calendar year</t>
  </si>
  <si>
    <t>Project number: 9766</t>
  </si>
  <si>
    <t>Project executing partner:  Ministry of the Environment (EM)</t>
  </si>
  <si>
    <t>UNEP Budget Line</t>
  </si>
  <si>
    <t>Projetc Management Cost</t>
  </si>
  <si>
    <t>Total</t>
  </si>
  <si>
    <t>PERSONNEL COMPONENT</t>
  </si>
  <si>
    <t>Project personnel</t>
  </si>
  <si>
    <t>Project coordinator (month 1-60: 60 months)</t>
  </si>
  <si>
    <t>Project staff</t>
  </si>
  <si>
    <t>2020        Jan-Dec</t>
  </si>
  <si>
    <t>2021        Jan-Dec</t>
  </si>
  <si>
    <t>2022        Jan-Dec</t>
  </si>
  <si>
    <t>2023        Jan-Dec</t>
  </si>
  <si>
    <t>2024        Jan-Jun</t>
  </si>
  <si>
    <t xml:space="preserve">Component 1: knowledge Management </t>
  </si>
  <si>
    <t>Component 2: Regulatory frameworks</t>
  </si>
  <si>
    <t xml:space="preserve">Component 3: Demosntrative Landscapes </t>
  </si>
  <si>
    <t>2019          Jul-Dec</t>
  </si>
  <si>
    <t>Local coordinator Elqui pilot</t>
  </si>
  <si>
    <t>Local coordinator Mantagua pilot</t>
  </si>
  <si>
    <t>Local coordinator Cahuil pilot</t>
  </si>
  <si>
    <t>Local coordinator Rocuant pilot</t>
  </si>
  <si>
    <t>Local coordinator Queule pilot</t>
  </si>
  <si>
    <t>Consultants</t>
  </si>
  <si>
    <t>International consultants</t>
  </si>
  <si>
    <t>National consultants</t>
  </si>
  <si>
    <t xml:space="preserve">Annual Reports Translator </t>
  </si>
  <si>
    <t xml:space="preserve">Travel </t>
  </si>
  <si>
    <t>Staff Travel &amp; Transport</t>
  </si>
  <si>
    <t>SUB-TOTAL</t>
  </si>
  <si>
    <t>SUB-CONTRACT COMPONENT</t>
  </si>
  <si>
    <t>Sub Contract to governmental agencies</t>
  </si>
  <si>
    <t>Sub Contract for commercial purposes</t>
  </si>
  <si>
    <t>Sub Contract to private firms</t>
  </si>
  <si>
    <t>TRAINING COMPONENT</t>
  </si>
  <si>
    <t>Group training</t>
  </si>
  <si>
    <t>Training</t>
  </si>
  <si>
    <t>Meetings/Conference</t>
  </si>
  <si>
    <t>Meetings</t>
  </si>
  <si>
    <t>EQUIPMENT AND PREMISES COMPONENT</t>
  </si>
  <si>
    <t xml:space="preserve">Expendable equipment </t>
  </si>
  <si>
    <t>Office supplies and consummables</t>
  </si>
  <si>
    <t>Laboratory supplies and consummables</t>
  </si>
  <si>
    <t>Non-expendable equipment</t>
  </si>
  <si>
    <t>Non laboratory purchase</t>
  </si>
  <si>
    <t>Laboratory equipment</t>
  </si>
  <si>
    <t>Premises</t>
  </si>
  <si>
    <t>Office premises</t>
  </si>
  <si>
    <t>Research facilities</t>
  </si>
  <si>
    <t>MISCELLANEOUS COMPONENT</t>
  </si>
  <si>
    <t>Operation and maintenance of equipment</t>
  </si>
  <si>
    <t>Equipment maintenance</t>
  </si>
  <si>
    <t>Reporting costs</t>
  </si>
  <si>
    <t>Publications, translation, dissemination and reporting costs</t>
  </si>
  <si>
    <t>Audit reports</t>
  </si>
  <si>
    <t>Sundry</t>
  </si>
  <si>
    <t>Comunications (tel, fax, email, etc)</t>
  </si>
  <si>
    <t>Others</t>
  </si>
  <si>
    <t>Technical support (Mid term evaluation &amp; Terminal evaluation)</t>
  </si>
  <si>
    <t>GRAND TOTAL</t>
  </si>
  <si>
    <t xml:space="preserve">Sub Contract for </t>
  </si>
  <si>
    <t>Consultancy 1: Programa de perfeccionamiento tecnológico y de recursos humanos, para mejorar la plataforma de humedales para el desarrollo de un sistema en línea que permita integrar información con un sistema único de búsqueda  y reporte</t>
  </si>
  <si>
    <t>Consultancy 2: Determinar límites del humedal, intrusión salina, zona de amortiguación y balance hídrico, para mejora de la gestión y fiscalización</t>
  </si>
  <si>
    <t xml:space="preserve">Consultancy 3: Identificación y valorización de  SSEE  para puesta en valor de humedales </t>
  </si>
  <si>
    <t>Diseño e Implementación de programa de capacitaciones  a personal municipal y actores claves sobre metodologías/herramientas de gestión/ordenación de humedales rurales y urbanos</t>
  </si>
  <si>
    <t>Diseño e implementación de capacitaciones para fortalecer el capital social de las organizaciones comunitaria y líderes locales</t>
  </si>
  <si>
    <t>Diplomado</t>
  </si>
  <si>
    <t>Cursos e-learning</t>
  </si>
  <si>
    <t>Talleres y charlas</t>
  </si>
  <si>
    <t>Talleres de inicio</t>
  </si>
  <si>
    <t>Seminario construccion sustentable</t>
  </si>
  <si>
    <t>Seminario SSEE</t>
  </si>
  <si>
    <t>Seminario intercambio experiencias</t>
  </si>
  <si>
    <t>Talleres finales</t>
  </si>
  <si>
    <t>Talleres de coordinación</t>
  </si>
  <si>
    <t>Pilots: Aplicación buenas practicas de turismo sustentable en 2 pilotos, apoyando certificacion sello S</t>
  </si>
  <si>
    <t>Pilots: Creación de áreas verdes y espacios físicos/ infraestructura  sustentables (pasarelas, zonas avistamiento, etc) para puesta en valor del humedal, señaletica</t>
  </si>
  <si>
    <t xml:space="preserve">Consultancy 7: Elaboración guías con lineamientos para determinar estructura y SSEE que proveen los humedales, monitoreo, alerta temprana, buenas praticas actividades productivas, planes de manejo </t>
  </si>
  <si>
    <t xml:space="preserve">Consultancy 10:  Elaborar guía para la elaboración de líneas bases en marco SEIA  para humedales costeros </t>
  </si>
  <si>
    <t>Pilots: Implementacion del Programa de monitoreo en cada piloto, con levantamiento de Línea base ambiental</t>
  </si>
  <si>
    <t>Diseño e implementacion de capacitaciones para profesionales de servicios del estado en conservacion y MS de humedales</t>
  </si>
  <si>
    <t>Reuniones CTL y CTN</t>
  </si>
  <si>
    <t>Pilot: Apoyo a la implementacion de actividades economicas sustentables asociadas al humedal (diagnostico consultoria 12), incorporando cadenas de valor, estudios de mercados y fortalecimiento del capital social</t>
  </si>
  <si>
    <t>Pilots: Implementación de acciones/medidas de restauración y control de amenazas en los 5 ecosistemas pilotos incluyendo aplicación de buenas prácticas en los distintos sectores productivos</t>
  </si>
  <si>
    <t>Consultancy 8: Revisión exhaustiva de la legislación sectorial que incide negativamente sobre la conservación de los humedales y evaluar  la efectividad de las diversas regulaciones sectoriales con incidencia directa e indirecta sobre los humedales, con propuesta de modificaciones legislativas.</t>
  </si>
  <si>
    <t>Consultancy 16: Consultorias de apoyo</t>
  </si>
  <si>
    <t>Consultancy 5: Diagnóstico sobre fuentes de contaminación e impactos a nivel de la cuenca para mejora de la gestión y fiscalización</t>
  </si>
  <si>
    <t>Consultancy 6: Diseño e implementación de un programa de comunicación y difusión para relevar el valor de los humedales orientado a distintos grupos objetivos (tomadores decisión, ciudadanía, actores privados)</t>
  </si>
  <si>
    <t>Consultancy 9:  Establecer consideraciones ambientales y criterios a incluir  en procesos de generación de infraestructura y construcción, actividades productivas como extracción de áridos, minerales y otros, actividades silvopagropecuarisas y actividades de turismo en zonas con influencia a humedales</t>
  </si>
  <si>
    <t>Consultancy 12: Diseño Programa Moonitoreo ambiental y ciudadano</t>
  </si>
  <si>
    <t xml:space="preserve">Consultancy 13: Levantamiento de áreas vulnerables con áreas degradadas para prioridad de restauración </t>
  </si>
  <si>
    <t>Consultancy 14:  Diagnóstico de las necesidades de proyectos y cadenas de valor para el desarrollo sustentable asociado al humedal</t>
  </si>
  <si>
    <t>Consultancy 15:  Diseño de certificación ambiental de áreas (humedales y paisajes costeros) o actividades sustentables asociadas a humedales y sellos verdes específicos</t>
  </si>
  <si>
    <r>
      <rPr>
        <sz val="10"/>
        <color rgb="FFFFFF00"/>
        <rFont val="Arial"/>
        <family val="2"/>
      </rPr>
      <t>Condesan</t>
    </r>
    <r>
      <rPr>
        <sz val="10"/>
        <color rgb="FF0070C0"/>
        <rFont val="Arial"/>
        <family val="2"/>
      </rPr>
      <t xml:space="preserve"> charges (Fund Management Agency´s charges)</t>
    </r>
  </si>
  <si>
    <t>Consultancy 4: Estudio hidrodinámico del comportamiento de la barra terminal y estuario, para evaluar el efecto  potencial de la construcción de obras de arte costero para mantener abierta la barra, sobre el estado trófico del humedal y definicion de umbrales para indicadores criticos de alerta temprana</t>
  </si>
  <si>
    <t>Consultancy 11: Formular planes participativos de gestion integral y restauracion del humedal y su cuenca, incorporando lineamientos de la convension Ramsar</t>
  </si>
  <si>
    <t>Pilots: Implementacion actividades estrategia comunicacional (actividades participativas de colegios, de limpia tu humedal y humedales libres de plástico</t>
  </si>
  <si>
    <t xml:space="preserve">Consultancy 1: Program for technological and human resources improvement, for the purpose of improving the wetlands platform for developing an on-line system that makes it possible to integrate information into a single search and reporting system  </t>
  </si>
  <si>
    <t xml:space="preserve">Consultancy 2: Define the limits of the wetlands, saline intrusion, buffer zone and hydric balance, for the purpose of improving management and inspection </t>
  </si>
  <si>
    <t xml:space="preserve">Consultancy 3: Identification and Appraisal of Ecosystem Services for enhancing wetlands  </t>
  </si>
  <si>
    <t xml:space="preserve">Consultancy 4: Hydrodynamic study of movement of the terminal bar and estuary, in order to evaluate the potential effect of the construction of coastal waterworks for maintaining the bar open, considering the trophic state of the the wetlands and the definition of thresholds for early-warning critical indicators </t>
  </si>
  <si>
    <t>Consultancy 5: Diagnosis of sources of pollution and impacts at the watershed level for the purpose of improving management and inspection</t>
  </si>
  <si>
    <t>Consultancy 6: Design and implementation of a communications and mainstreaming program for emphasizing the value of wetlands, designed for different target groups (decision-makers, citizens, private stakeholders)</t>
  </si>
  <si>
    <t xml:space="preserve">Consultancy 7: Draw up manuals with guidelines for determining structure and the environmental services wetlands provide, monitoring, early warning, productive activities, best practices, management plans  </t>
  </si>
  <si>
    <t>Consultancy 8: Exhaustive review of the sectorial legislation which negatively impacts wetlands conservation, and evaluation of the effectiveness of the different sectorial regulations that have direct or indirect incidence on wetlands, for the purpose of proposing legislative changes</t>
  </si>
  <si>
    <t xml:space="preserve">Consultancy 9:  Establish environmental considerations and criteria to be included in processes of infrastructure and construction generation, productive activities such as mining of aggregates, minerals, etc, forestry, agricultural and livestock activities and tourism, in wetland-related zones  </t>
  </si>
  <si>
    <t xml:space="preserve">Consultancy 10:  Draw up manuals for establishing baselines within the SEIA  framework for coastal wetlands </t>
  </si>
  <si>
    <t>Consultancy 11: Draw up participative plans for integrated management and recovery of the wetlands and their watersheds, incorporating Ramsar Convention guidelines</t>
  </si>
  <si>
    <t xml:space="preserve">Consultancy 12: Design of Citizen Participation Environmental Monitoring Program </t>
  </si>
  <si>
    <t xml:space="preserve">Consultancy 13: Survey of vulnerable zones with deteriorated areas for prioritizing recovery  </t>
  </si>
  <si>
    <t xml:space="preserve">Consultancy 14:  Diagnosis of the needs for projects and value chains for sustainable development associated with the wetlands </t>
  </si>
  <si>
    <t xml:space="preserve">Consultancy 15:  Design of environmental certification of areas (wetlands and coastal landscapes) or sustainable activities associated with wetlands and specific green seals </t>
  </si>
  <si>
    <t>Consultancy 16: Support consultancies</t>
  </si>
  <si>
    <t xml:space="preserve">Pilots: Implementation of the Monitoring Program in each pilot, with establishment of Environmental Baseline </t>
  </si>
  <si>
    <t xml:space="preserve">Pilots: Implementation of recovery and threat control actions/measures in the 5 pilot ecosystems, including application of best practices in the different productive sectors </t>
  </si>
  <si>
    <t>Pilots: Application of best practices for sustainable tourism in 2 pilots, supporting S-seal certification</t>
  </si>
  <si>
    <t>Pilots: Establishment of green areas and sustainable physical spaces/infrastructure  (foot bridges, viewpoints, signposts, etc) for enhancing the wetlands</t>
  </si>
  <si>
    <t xml:space="preserve">Pilots: Implementation of communicational strategy activities (participative activities in schools, clean your wetlands and plastic-free wetlands)  </t>
  </si>
  <si>
    <t>Administrative staff (month 2-60: 58 months)</t>
  </si>
  <si>
    <t xml:space="preserve">Design and Implementation of training program for municipal personnel and key stakeholders on methodologies/tools for management/planning of rural and urban wetlands </t>
  </si>
  <si>
    <t xml:space="preserve">Design and implementation of training for strengthening social capital of community organizations and local leaders </t>
  </si>
  <si>
    <t xml:space="preserve">Design and implementation of training for State services professionals in conservation and wetlands EESS </t>
  </si>
  <si>
    <t>E-learning Courses</t>
  </si>
  <si>
    <t>Workshops and Talks</t>
  </si>
  <si>
    <t>Local and National Technical Committee Meetings</t>
  </si>
  <si>
    <t>Inception Workshops</t>
  </si>
  <si>
    <t xml:space="preserve">Sustainable Construction Seminar </t>
  </si>
  <si>
    <t xml:space="preserve">Ecosystem Services Seminar </t>
  </si>
  <si>
    <t>Experience Sharing Seminar</t>
  </si>
  <si>
    <t>Coordination Workshops</t>
  </si>
  <si>
    <t>Final Workshops</t>
  </si>
  <si>
    <t xml:space="preserve">Pilot: Support for implementation of sustainable economic activities associated with wetlands (diagnostic consultancy 14), incorporating value chains, market studies and strengthening social capital  </t>
  </si>
  <si>
    <t xml:space="preserve">Executing Support Agency charges </t>
  </si>
  <si>
    <t>ANNEX 1 - RECONCILIATION BETWEEN GEF ACTIVITY BASED BUDGET AND UNEP BUDGET LINE (GEF FUNDS ONLY) US$)</t>
  </si>
  <si>
    <t>Project title: Mainstreaming biodiversity conservation and sustainable landscape management of watersheds containing wetlands within Chile's South Center Biodiversity Hotspot through reformed coastal planning frameworks</t>
  </si>
  <si>
    <t>Technical support (Mid term evaluation)</t>
  </si>
  <si>
    <t>Technical support (Terminal evaluation)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</si>
</sst>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2" formatCode="_ &quot;$&quot;* #,##0_ ;_ &quot;$&quot;* \-#,##0_ ;_ &quot;$&quot;* &quot;-&quot;_ ;_ @_ "/>
    <numFmt numFmtId="41" formatCode="_ * #,##0_ ;_ * \-#,##0_ ;_ * &quot;-&quot;_ ;_ @_ "/>
    <numFmt numFmtId="43" formatCode="_ * #,##0.00_ ;_ * \-#,##0.00_ ;_ * &quot;-&quot;??_ ;_ @_ "/>
    <numFmt numFmtId="164" formatCode="_-* #,##0_-;\-* #,##0_-;_-* &quot;-&quot;??_-;_-@_-"/>
  </numFmts>
  <fonts count="10" x14ac:knownFonts="1">
    <font>
      <sz val="11"/>
      <color theme="1"/>
      <name val="Calibri"/>
      <family val="2"/>
      <scheme val="minor"/>
    </font>
    <font>
      <sz val="11"/>
      <color theme="1"/>
      <name val="Calibri"/>
      <family val="2"/>
      <scheme val="minor"/>
    </font>
    <font>
      <b/>
      <sz val="10"/>
      <color rgb="FF0070C0"/>
      <name val="Arial"/>
      <family val="2"/>
    </font>
    <font>
      <sz val="10"/>
      <color rgb="FF0070C0"/>
      <name val="Arial"/>
      <family val="2"/>
    </font>
    <font>
      <sz val="11"/>
      <color rgb="FF0070C0"/>
      <name val="Calibri"/>
      <family val="2"/>
      <scheme val="minor"/>
    </font>
    <font>
      <sz val="9"/>
      <color rgb="FF0070C0"/>
      <name val="Arial"/>
      <family val="2"/>
    </font>
    <font>
      <sz val="10"/>
      <color rgb="FFFFFF00"/>
      <name val="Arial"/>
      <family val="2"/>
    </font>
    <font>
      <sz val="10"/>
      <color theme="4"/>
      <name val="Arial"/>
      <family val="2"/>
    </font>
    <font>
      <sz val="11"/>
      <color rgb="FF000000"/>
      <name val="Times New Roman"/>
      <family val="1"/>
    </font>
    <font>
      <sz val="10"/>
      <color rgb="FF000000"/>
      <name val="Times New Roman"/>
      <family val="1"/>
    </font>
  </fonts>
  <fills count="8">
    <fill>
      <patternFill patternType="none"/>
    </fill>
    <fill>
      <patternFill patternType="gray125"/>
    </fill>
    <fill>
      <patternFill patternType="solid">
        <fgColor rgb="FFFFC0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0"/>
        <bgColor indexed="64"/>
      </patternFill>
    </fill>
    <fill>
      <patternFill patternType="solid">
        <fgColor rgb="FFFFFF00"/>
        <bgColor indexed="64"/>
      </patternFill>
    </fill>
  </fills>
  <borders count="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43" fontId="1" fillId="0" borderId="0" applyFont="0" applyFill="0" applyBorder="0" applyAlignment="0" applyProtection="0"/>
    <xf numFmtId="42" fontId="1" fillId="0" borderId="0" applyFont="0" applyFill="0" applyBorder="0" applyAlignment="0" applyProtection="0"/>
  </cellStyleXfs>
  <cellXfs count="68">
    <xf numFmtId="0" fontId="0" fillId="0" borderId="0" xfId="0"/>
    <xf numFmtId="0" fontId="3" fillId="0" borderId="0" xfId="0" applyFont="1" applyFill="1" applyBorder="1" applyAlignment="1">
      <alignment vertical="top"/>
    </xf>
    <xf numFmtId="0" fontId="3" fillId="0" borderId="0" xfId="0" applyFont="1" applyFill="1" applyBorder="1" applyAlignment="1">
      <alignment horizontal="center" vertical="top"/>
    </xf>
    <xf numFmtId="3" fontId="4" fillId="0" borderId="0" xfId="0" applyNumberFormat="1" applyFont="1" applyFill="1" applyBorder="1" applyAlignment="1">
      <alignment horizontal="center" vertical="top"/>
    </xf>
    <xf numFmtId="3" fontId="4" fillId="0" borderId="0" xfId="0" applyNumberFormat="1" applyFont="1" applyFill="1" applyBorder="1" applyAlignment="1">
      <alignment vertical="top"/>
    </xf>
    <xf numFmtId="0" fontId="3" fillId="0" borderId="0" xfId="0" applyFont="1" applyFill="1" applyBorder="1" applyAlignment="1">
      <alignment horizontal="left" vertical="top"/>
    </xf>
    <xf numFmtId="0" fontId="2" fillId="0" borderId="0" xfId="0" applyFont="1" applyFill="1" applyBorder="1" applyAlignment="1">
      <alignment horizontal="center"/>
    </xf>
    <xf numFmtId="0" fontId="2" fillId="0" borderId="4" xfId="0" applyFont="1" applyFill="1" applyBorder="1" applyAlignment="1">
      <alignment horizontal="center" vertical="top"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1" fontId="2" fillId="2" borderId="4" xfId="0" applyNumberFormat="1" applyFont="1" applyFill="1" applyBorder="1" applyAlignment="1">
      <alignment horizontal="center" vertical="center" wrapText="1"/>
    </xf>
    <xf numFmtId="3" fontId="2" fillId="3" borderId="4" xfId="0" applyNumberFormat="1" applyFont="1" applyFill="1" applyBorder="1" applyAlignment="1">
      <alignment horizontal="center" vertical="center"/>
    </xf>
    <xf numFmtId="0" fontId="2" fillId="0" borderId="4" xfId="0" applyFont="1" applyFill="1" applyBorder="1" applyAlignment="1">
      <alignment horizontal="left" vertical="top"/>
    </xf>
    <xf numFmtId="0" fontId="3" fillId="0" borderId="4" xfId="0" applyFont="1" applyFill="1" applyBorder="1" applyAlignment="1">
      <alignment vertical="top"/>
    </xf>
    <xf numFmtId="0" fontId="3" fillId="0" borderId="4" xfId="0" applyFont="1" applyFill="1" applyBorder="1" applyAlignment="1">
      <alignment horizontal="left" vertical="top"/>
    </xf>
    <xf numFmtId="0" fontId="3" fillId="4" borderId="4" xfId="0" applyFont="1" applyFill="1" applyBorder="1" applyAlignment="1">
      <alignment horizontal="right" vertical="top"/>
    </xf>
    <xf numFmtId="0" fontId="2" fillId="4" borderId="4" xfId="0" applyFont="1" applyFill="1" applyBorder="1" applyAlignment="1">
      <alignment horizontal="left" vertical="top" wrapText="1"/>
    </xf>
    <xf numFmtId="0" fontId="5" fillId="4" borderId="4" xfId="0" applyFont="1" applyFill="1" applyBorder="1" applyAlignment="1">
      <alignment horizontal="left" vertical="top" wrapText="1"/>
    </xf>
    <xf numFmtId="0" fontId="2" fillId="0" borderId="4" xfId="0" applyFont="1" applyFill="1" applyBorder="1" applyAlignment="1">
      <alignment horizontal="left" vertical="top" wrapText="1"/>
    </xf>
    <xf numFmtId="164" fontId="3" fillId="4" borderId="4" xfId="0" applyNumberFormat="1" applyFont="1" applyFill="1" applyBorder="1" applyAlignment="1">
      <alignment horizontal="left" vertical="top" wrapText="1"/>
    </xf>
    <xf numFmtId="0" fontId="3" fillId="4" borderId="4" xfId="0" applyFont="1" applyFill="1" applyBorder="1" applyAlignment="1">
      <alignment horizontal="left" vertical="top" wrapText="1"/>
    </xf>
    <xf numFmtId="0" fontId="3" fillId="0" borderId="4" xfId="0" applyFont="1" applyFill="1" applyBorder="1" applyAlignment="1">
      <alignment horizontal="left" vertical="top" wrapText="1"/>
    </xf>
    <xf numFmtId="0" fontId="2" fillId="5" borderId="4" xfId="0" applyFont="1" applyFill="1" applyBorder="1" applyAlignment="1">
      <alignment horizontal="left" vertical="top"/>
    </xf>
    <xf numFmtId="0" fontId="2" fillId="5" borderId="4" xfId="0" applyFont="1" applyFill="1" applyBorder="1" applyAlignment="1">
      <alignment vertical="top"/>
    </xf>
    <xf numFmtId="0" fontId="2" fillId="0" borderId="4" xfId="0" applyFont="1" applyFill="1" applyBorder="1" applyAlignment="1">
      <alignment vertical="top"/>
    </xf>
    <xf numFmtId="0" fontId="2" fillId="6" borderId="4" xfId="0" applyFont="1" applyFill="1" applyBorder="1" applyAlignment="1">
      <alignment horizontal="left" vertical="top"/>
    </xf>
    <xf numFmtId="0" fontId="3" fillId="6" borderId="4" xfId="0" applyFont="1" applyFill="1" applyBorder="1" applyAlignment="1">
      <alignment vertical="top"/>
    </xf>
    <xf numFmtId="0" fontId="3" fillId="4" borderId="4" xfId="0" applyFont="1" applyFill="1" applyBorder="1" applyAlignment="1">
      <alignment horizontal="right" vertical="top" wrapText="1"/>
    </xf>
    <xf numFmtId="0" fontId="3" fillId="6" borderId="4" xfId="0" applyFont="1" applyFill="1" applyBorder="1" applyAlignment="1">
      <alignment horizontal="left" vertical="top"/>
    </xf>
    <xf numFmtId="0" fontId="3" fillId="4" borderId="4" xfId="0" applyFont="1" applyFill="1" applyBorder="1" applyAlignment="1">
      <alignment vertical="top" wrapText="1"/>
    </xf>
    <xf numFmtId="0" fontId="3" fillId="4" borderId="4" xfId="0" applyFont="1" applyFill="1" applyBorder="1" applyAlignment="1">
      <alignment horizontal="left" vertical="top"/>
    </xf>
    <xf numFmtId="0" fontId="3" fillId="5" borderId="4" xfId="0" applyFont="1" applyFill="1" applyBorder="1" applyAlignment="1">
      <alignment vertical="top"/>
    </xf>
    <xf numFmtId="0" fontId="3" fillId="0" borderId="4" xfId="0" applyFont="1" applyFill="1" applyBorder="1" applyAlignment="1">
      <alignment vertical="top" wrapText="1"/>
    </xf>
    <xf numFmtId="0" fontId="2" fillId="7" borderId="4" xfId="0" applyFont="1" applyFill="1" applyBorder="1" applyAlignment="1">
      <alignment horizontal="left" vertical="top"/>
    </xf>
    <xf numFmtId="0" fontId="2" fillId="7" borderId="4" xfId="0" applyFont="1" applyFill="1" applyBorder="1" applyAlignment="1">
      <alignment vertical="top"/>
    </xf>
    <xf numFmtId="42" fontId="0" fillId="0" borderId="0" xfId="2" applyFont="1"/>
    <xf numFmtId="42" fontId="0" fillId="0" borderId="0" xfId="0" applyNumberFormat="1"/>
    <xf numFmtId="164" fontId="3" fillId="4" borderId="4" xfId="1" applyNumberFormat="1" applyFont="1" applyFill="1" applyBorder="1" applyAlignment="1">
      <alignment horizontal="center" vertical="center" wrapText="1"/>
    </xf>
    <xf numFmtId="164" fontId="3" fillId="0" borderId="4" xfId="1" applyNumberFormat="1" applyFont="1" applyFill="1" applyBorder="1" applyAlignment="1">
      <alignment horizontal="center" vertical="center"/>
    </xf>
    <xf numFmtId="164" fontId="3" fillId="0" borderId="4" xfId="1" applyNumberFormat="1" applyFont="1" applyFill="1" applyBorder="1" applyAlignment="1">
      <alignment vertical="center"/>
    </xf>
    <xf numFmtId="164" fontId="3" fillId="4" borderId="4" xfId="1" applyNumberFormat="1" applyFont="1" applyFill="1" applyBorder="1" applyAlignment="1">
      <alignment horizontal="center" vertical="center"/>
    </xf>
    <xf numFmtId="164" fontId="2" fillId="4" borderId="4" xfId="1" applyNumberFormat="1" applyFont="1" applyFill="1" applyBorder="1" applyAlignment="1">
      <alignment horizontal="center" vertical="center" wrapText="1"/>
    </xf>
    <xf numFmtId="164" fontId="3" fillId="0" borderId="4" xfId="1" applyNumberFormat="1" applyFont="1" applyFill="1" applyBorder="1" applyAlignment="1">
      <alignment horizontal="center" vertical="center" wrapText="1"/>
    </xf>
    <xf numFmtId="0" fontId="0" fillId="0" borderId="4" xfId="0" applyBorder="1" applyAlignment="1">
      <alignment vertical="center"/>
    </xf>
    <xf numFmtId="41" fontId="0" fillId="0" borderId="4" xfId="0" applyNumberFormat="1" applyBorder="1" applyAlignment="1">
      <alignment vertical="center"/>
    </xf>
    <xf numFmtId="41" fontId="3" fillId="4" borderId="4" xfId="1" applyNumberFormat="1" applyFont="1" applyFill="1" applyBorder="1" applyAlignment="1">
      <alignment horizontal="center" vertical="center"/>
    </xf>
    <xf numFmtId="164" fontId="0" fillId="0" borderId="4" xfId="0" applyNumberFormat="1" applyBorder="1" applyAlignment="1">
      <alignment vertical="center"/>
    </xf>
    <xf numFmtId="42" fontId="0" fillId="0" borderId="4" xfId="2" applyFont="1" applyBorder="1" applyAlignment="1">
      <alignment vertical="center"/>
    </xf>
    <xf numFmtId="3" fontId="4" fillId="0" borderId="0" xfId="0" applyNumberFormat="1" applyFont="1" applyFill="1" applyBorder="1" applyAlignment="1">
      <alignment vertical="center"/>
    </xf>
    <xf numFmtId="0" fontId="0" fillId="0" borderId="0" xfId="0" applyAlignment="1">
      <alignment vertical="center"/>
    </xf>
    <xf numFmtId="3" fontId="4" fillId="0" borderId="0" xfId="0" applyNumberFormat="1" applyFont="1" applyFill="1" applyBorder="1" applyAlignment="1">
      <alignment horizontal="center" vertical="center"/>
    </xf>
    <xf numFmtId="0" fontId="0" fillId="0" borderId="0" xfId="0" applyAlignment="1">
      <alignment wrapText="1"/>
    </xf>
    <xf numFmtId="0" fontId="7" fillId="4" borderId="4" xfId="0" applyFont="1" applyFill="1" applyBorder="1" applyAlignment="1">
      <alignment horizontal="left" vertical="top" wrapText="1"/>
    </xf>
    <xf numFmtId="42" fontId="8" fillId="0" borderId="0" xfId="2" applyFont="1"/>
    <xf numFmtId="42" fontId="9" fillId="0" borderId="0" xfId="2" applyFont="1"/>
    <xf numFmtId="42" fontId="0" fillId="0" borderId="4" xfId="2" applyNumberFormat="1" applyFont="1" applyBorder="1" applyAlignment="1">
      <alignment vertical="center"/>
    </xf>
    <xf numFmtId="1" fontId="2" fillId="6" borderId="4" xfId="0" applyNumberFormat="1" applyFont="1" applyFill="1" applyBorder="1" applyAlignment="1">
      <alignment horizontal="center" vertical="center" wrapText="1"/>
    </xf>
    <xf numFmtId="17" fontId="2" fillId="0" borderId="0" xfId="0" applyNumberFormat="1" applyFont="1" applyFill="1" applyBorder="1" applyAlignment="1">
      <alignment horizontal="left"/>
    </xf>
    <xf numFmtId="0" fontId="2" fillId="0" borderId="0" xfId="0" applyFont="1" applyFill="1" applyBorder="1" applyAlignment="1">
      <alignment horizontal="left"/>
    </xf>
    <xf numFmtId="3" fontId="4" fillId="0" borderId="0" xfId="0" applyNumberFormat="1" applyFont="1" applyBorder="1" applyAlignment="1">
      <alignment horizontal="center"/>
    </xf>
    <xf numFmtId="0" fontId="2" fillId="0" borderId="1" xfId="0" applyFont="1" applyFill="1" applyBorder="1" applyAlignment="1">
      <alignment horizontal="left" vertical="center"/>
    </xf>
    <xf numFmtId="0" fontId="2" fillId="0" borderId="2" xfId="0" applyFont="1" applyFill="1" applyBorder="1" applyAlignment="1">
      <alignment horizontal="left" vertical="center"/>
    </xf>
    <xf numFmtId="0" fontId="2" fillId="0" borderId="3" xfId="0" applyFont="1" applyFill="1" applyBorder="1" applyAlignment="1">
      <alignment horizontal="left" vertical="center"/>
    </xf>
    <xf numFmtId="0" fontId="2" fillId="0" borderId="0" xfId="0" applyFont="1" applyFill="1" applyBorder="1" applyAlignment="1">
      <alignment horizontal="center" vertical="top" wrapText="1"/>
    </xf>
    <xf numFmtId="0" fontId="3" fillId="0" borderId="0" xfId="0" applyFont="1" applyFill="1" applyBorder="1" applyAlignment="1">
      <alignment horizontal="left" vertical="top"/>
    </xf>
    <xf numFmtId="3" fontId="3" fillId="0" borderId="0" xfId="0" applyNumberFormat="1" applyFont="1" applyFill="1" applyBorder="1" applyAlignment="1">
      <alignment horizontal="left" vertical="top"/>
    </xf>
    <xf numFmtId="3" fontId="4" fillId="0" borderId="0" xfId="0" applyNumberFormat="1" applyFont="1" applyFill="1" applyBorder="1" applyAlignment="1">
      <alignment horizontal="left" vertical="top"/>
    </xf>
    <xf numFmtId="41" fontId="0" fillId="0" borderId="0" xfId="0" applyNumberFormat="1"/>
  </cellXfs>
  <cellStyles count="3">
    <cellStyle name="Millares" xfId="1" builtinId="3"/>
    <cellStyle name="Moneda [0]" xfId="2" builtinId="7"/>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O110"/>
  <sheetViews>
    <sheetView tabSelected="1" zoomScaleNormal="100" workbookViewId="0">
      <pane xSplit="3" ySplit="10" topLeftCell="D23" activePane="bottomRight" state="frozen"/>
      <selection pane="topRight" activeCell="D1" sqref="D1"/>
      <selection pane="bottomLeft" activeCell="A11" sqref="A11"/>
      <selection pane="bottomRight" activeCell="H100" sqref="H100"/>
    </sheetView>
  </sheetViews>
  <sheetFormatPr baseColWidth="10" defaultRowHeight="14.4" x14ac:dyDescent="0.3"/>
  <cols>
    <col min="1" max="1" width="5.77734375" customWidth="1"/>
    <col min="2" max="2" width="6.77734375" customWidth="1"/>
    <col min="3" max="3" width="24" customWidth="1"/>
    <col min="4" max="4" width="14.44140625" customWidth="1"/>
    <col min="5" max="5" width="14.33203125" customWidth="1"/>
    <col min="6" max="6" width="14.5546875" bestFit="1" customWidth="1"/>
    <col min="7" max="7" width="13.44140625" bestFit="1" customWidth="1"/>
    <col min="8" max="8" width="14.5546875" bestFit="1" customWidth="1"/>
    <col min="14" max="15" width="11.5546875" style="49"/>
  </cols>
  <sheetData>
    <row r="2" spans="1:15" x14ac:dyDescent="0.3">
      <c r="A2" s="63" t="s">
        <v>139</v>
      </c>
      <c r="B2" s="63"/>
      <c r="C2" s="63"/>
      <c r="D2" s="63"/>
      <c r="E2" s="63"/>
      <c r="F2" s="63"/>
      <c r="G2" s="63"/>
      <c r="H2" s="63"/>
      <c r="I2" s="63"/>
      <c r="J2" s="63"/>
      <c r="K2" s="63"/>
      <c r="L2" s="63"/>
      <c r="M2" s="63"/>
      <c r="N2" s="63"/>
      <c r="O2" s="63"/>
    </row>
    <row r="3" spans="1:15" x14ac:dyDescent="0.3">
      <c r="A3" s="1" t="s">
        <v>140</v>
      </c>
      <c r="B3" s="1"/>
      <c r="C3" s="1"/>
      <c r="D3" s="1"/>
      <c r="E3" s="1"/>
      <c r="F3" s="1"/>
      <c r="G3" s="2"/>
      <c r="H3" s="1"/>
      <c r="I3" s="3"/>
      <c r="J3" s="4"/>
      <c r="K3" s="4"/>
      <c r="L3" s="4"/>
      <c r="M3" s="4"/>
      <c r="N3" s="48"/>
      <c r="O3" s="50"/>
    </row>
    <row r="4" spans="1:15" ht="12" customHeight="1" x14ac:dyDescent="0.3">
      <c r="A4" s="64" t="s">
        <v>6</v>
      </c>
      <c r="B4" s="64"/>
      <c r="C4" s="64"/>
      <c r="D4" s="5"/>
      <c r="E4" s="5"/>
      <c r="F4" s="5"/>
      <c r="G4" s="2"/>
      <c r="H4" s="5"/>
      <c r="I4" s="65"/>
      <c r="J4" s="65"/>
      <c r="K4" s="65"/>
      <c r="L4" s="65"/>
      <c r="M4" s="65"/>
      <c r="N4" s="65"/>
      <c r="O4" s="65"/>
    </row>
    <row r="5" spans="1:15" hidden="1" x14ac:dyDescent="0.3">
      <c r="A5" s="5" t="s">
        <v>7</v>
      </c>
      <c r="B5" s="5"/>
      <c r="C5" s="5"/>
      <c r="D5" s="5"/>
      <c r="E5" s="5"/>
      <c r="F5" s="5"/>
      <c r="G5" s="2"/>
      <c r="H5" s="5"/>
      <c r="I5" s="66"/>
      <c r="J5" s="66"/>
      <c r="K5" s="66"/>
      <c r="L5" s="66"/>
      <c r="M5" s="66"/>
      <c r="N5" s="66"/>
      <c r="O5" s="66"/>
    </row>
    <row r="6" spans="1:15" hidden="1" x14ac:dyDescent="0.3">
      <c r="A6" s="64" t="s">
        <v>0</v>
      </c>
      <c r="B6" s="64"/>
      <c r="C6" s="64"/>
      <c r="D6" s="5"/>
      <c r="E6" s="5"/>
      <c r="F6" s="5"/>
      <c r="G6" s="2"/>
      <c r="H6" s="5"/>
      <c r="I6" s="59" t="s">
        <v>1</v>
      </c>
      <c r="J6" s="59"/>
      <c r="K6" s="59"/>
      <c r="L6" s="59"/>
      <c r="M6" s="59"/>
      <c r="N6" s="59"/>
      <c r="O6" s="59"/>
    </row>
    <row r="7" spans="1:15" hidden="1" x14ac:dyDescent="0.3">
      <c r="A7" s="2" t="s">
        <v>2</v>
      </c>
      <c r="B7" s="57"/>
      <c r="C7" s="58"/>
      <c r="D7" s="6"/>
      <c r="E7" s="6"/>
      <c r="F7" s="6"/>
      <c r="G7" s="6"/>
      <c r="H7" s="6"/>
      <c r="I7" s="59" t="s">
        <v>3</v>
      </c>
      <c r="J7" s="59"/>
      <c r="K7" s="59"/>
      <c r="L7" s="59"/>
      <c r="M7" s="59"/>
      <c r="N7" s="59"/>
      <c r="O7" s="59"/>
    </row>
    <row r="8" spans="1:15" hidden="1" x14ac:dyDescent="0.3">
      <c r="A8" s="2" t="s">
        <v>4</v>
      </c>
      <c r="B8" s="57"/>
      <c r="C8" s="58"/>
      <c r="D8" s="6"/>
      <c r="E8" s="6"/>
      <c r="F8" s="6"/>
      <c r="G8" s="6"/>
      <c r="H8" s="6"/>
      <c r="I8" s="59" t="s">
        <v>5</v>
      </c>
      <c r="J8" s="59"/>
      <c r="K8" s="59"/>
      <c r="L8" s="59"/>
      <c r="M8" s="59"/>
      <c r="N8" s="59"/>
      <c r="O8" s="59"/>
    </row>
    <row r="9" spans="1:15" hidden="1" x14ac:dyDescent="0.3"/>
    <row r="10" spans="1:15" ht="39.6" x14ac:dyDescent="0.3">
      <c r="A10" s="60" t="s">
        <v>8</v>
      </c>
      <c r="B10" s="61"/>
      <c r="C10" s="62"/>
      <c r="D10" s="7" t="s">
        <v>20</v>
      </c>
      <c r="E10" s="7" t="s">
        <v>21</v>
      </c>
      <c r="F10" s="7" t="s">
        <v>22</v>
      </c>
      <c r="G10" s="8" t="s">
        <v>9</v>
      </c>
      <c r="H10" s="9" t="s">
        <v>10</v>
      </c>
      <c r="I10" s="56" t="s">
        <v>23</v>
      </c>
      <c r="J10" s="56" t="s">
        <v>15</v>
      </c>
      <c r="K10" s="56" t="s">
        <v>16</v>
      </c>
      <c r="L10" s="56" t="s">
        <v>17</v>
      </c>
      <c r="M10" s="56" t="s">
        <v>18</v>
      </c>
      <c r="N10" s="56" t="s">
        <v>19</v>
      </c>
      <c r="O10" s="11" t="s">
        <v>10</v>
      </c>
    </row>
    <row r="11" spans="1:15" x14ac:dyDescent="0.3">
      <c r="A11" s="12">
        <v>10</v>
      </c>
      <c r="B11" s="12" t="s">
        <v>11</v>
      </c>
      <c r="C11" s="13"/>
      <c r="D11" s="38"/>
      <c r="E11" s="38"/>
      <c r="F11" s="38"/>
      <c r="G11" s="38"/>
      <c r="H11" s="38"/>
      <c r="I11" s="38"/>
      <c r="J11" s="39"/>
      <c r="K11" s="39"/>
      <c r="L11" s="39"/>
      <c r="M11" s="39"/>
      <c r="N11" s="39"/>
      <c r="O11" s="38"/>
    </row>
    <row r="12" spans="1:15" x14ac:dyDescent="0.3">
      <c r="A12" s="14"/>
      <c r="B12" s="12">
        <v>1100</v>
      </c>
      <c r="C12" s="13" t="s">
        <v>12</v>
      </c>
      <c r="D12" s="38"/>
      <c r="E12" s="38"/>
      <c r="F12" s="38"/>
      <c r="G12" s="38"/>
      <c r="H12" s="38"/>
      <c r="I12" s="38"/>
      <c r="J12" s="39"/>
      <c r="K12" s="39"/>
      <c r="L12" s="39"/>
      <c r="M12" s="39"/>
      <c r="N12" s="39"/>
      <c r="O12" s="38"/>
    </row>
    <row r="13" spans="1:15" ht="26.4" x14ac:dyDescent="0.3">
      <c r="A13" s="14"/>
      <c r="B13" s="15">
        <v>1101</v>
      </c>
      <c r="C13" s="16" t="s">
        <v>13</v>
      </c>
      <c r="D13" s="37">
        <f>O13*0.4</f>
        <v>118984.104465072</v>
      </c>
      <c r="E13" s="37">
        <f>O13*0.3</f>
        <v>89238.078348803989</v>
      </c>
      <c r="F13" s="37">
        <f>O13*0.3</f>
        <v>89238.078348803989</v>
      </c>
      <c r="G13" s="37">
        <v>0</v>
      </c>
      <c r="H13" s="37">
        <f>SUM(D13:G13)</f>
        <v>297460.26116267999</v>
      </c>
      <c r="I13" s="40">
        <f>4600*6</f>
        <v>27600</v>
      </c>
      <c r="J13" s="40">
        <f>(4600*1.03)*12</f>
        <v>56856</v>
      </c>
      <c r="K13" s="40">
        <f>J13*1.03</f>
        <v>58561.68</v>
      </c>
      <c r="L13" s="40">
        <f>K13*1.03</f>
        <v>60318.530400000003</v>
      </c>
      <c r="M13" s="40">
        <f>L13*1.03</f>
        <v>62128.086312000007</v>
      </c>
      <c r="N13" s="40">
        <f>M13*1.03/2</f>
        <v>31995.964450680003</v>
      </c>
      <c r="O13" s="40">
        <f>SUM(I13:N13)</f>
        <v>297460.26116267999</v>
      </c>
    </row>
    <row r="14" spans="1:15" x14ac:dyDescent="0.3">
      <c r="A14" s="14"/>
      <c r="B14" s="15">
        <v>1102</v>
      </c>
      <c r="C14" s="16" t="s">
        <v>14</v>
      </c>
      <c r="D14" s="41"/>
      <c r="E14" s="37"/>
      <c r="F14" s="41"/>
      <c r="G14" s="41"/>
      <c r="H14" s="37">
        <f t="shared" ref="H14:H76" si="0">SUM(D14:G14)</f>
        <v>0</v>
      </c>
      <c r="I14" s="41"/>
      <c r="J14" s="41"/>
      <c r="K14" s="40">
        <f t="shared" ref="K14:M21" si="1">J14*1.03</f>
        <v>0</v>
      </c>
      <c r="L14" s="40">
        <f t="shared" si="1"/>
        <v>0</v>
      </c>
      <c r="M14" s="40">
        <f t="shared" si="1"/>
        <v>0</v>
      </c>
      <c r="N14" s="40">
        <f t="shared" ref="N14:N20" si="2">M14*1.03/2</f>
        <v>0</v>
      </c>
      <c r="O14" s="40">
        <f t="shared" ref="O14:O86" si="3">SUM(I14:N14)</f>
        <v>0</v>
      </c>
    </row>
    <row r="15" spans="1:15" x14ac:dyDescent="0.3">
      <c r="A15" s="14"/>
      <c r="B15" s="15"/>
      <c r="C15" s="17" t="s">
        <v>24</v>
      </c>
      <c r="D15" s="37">
        <f>O15*0.2</f>
        <v>32332.637082899997</v>
      </c>
      <c r="E15" s="37">
        <f>O15*0.2</f>
        <v>32332.637082899997</v>
      </c>
      <c r="F15" s="37">
        <f>O15*0.6</f>
        <v>96997.91124869998</v>
      </c>
      <c r="G15" s="37"/>
      <c r="H15" s="37">
        <f t="shared" si="0"/>
        <v>161663.18541449998</v>
      </c>
      <c r="I15" s="40">
        <f>2500*6</f>
        <v>15000</v>
      </c>
      <c r="J15" s="40">
        <f>2500*1.03*12</f>
        <v>30900</v>
      </c>
      <c r="K15" s="40">
        <f>J15*1.03</f>
        <v>31827</v>
      </c>
      <c r="L15" s="40">
        <f t="shared" si="1"/>
        <v>32781.81</v>
      </c>
      <c r="M15" s="40">
        <f t="shared" si="1"/>
        <v>33765.264299999995</v>
      </c>
      <c r="N15" s="40">
        <f t="shared" si="2"/>
        <v>17389.1111145</v>
      </c>
      <c r="O15" s="40">
        <f t="shared" si="3"/>
        <v>161663.18541449998</v>
      </c>
    </row>
    <row r="16" spans="1:15" ht="22.8" x14ac:dyDescent="0.3">
      <c r="A16" s="14"/>
      <c r="B16" s="15"/>
      <c r="C16" s="17" t="s">
        <v>25</v>
      </c>
      <c r="D16" s="37">
        <f>O16*0.2</f>
        <v>32332.637082899997</v>
      </c>
      <c r="E16" s="37">
        <f>O16*0.2</f>
        <v>32332.637082899997</v>
      </c>
      <c r="F16" s="37">
        <f>O16*0.6</f>
        <v>96997.91124869998</v>
      </c>
      <c r="G16" s="37"/>
      <c r="H16" s="37">
        <f t="shared" si="0"/>
        <v>161663.18541449998</v>
      </c>
      <c r="I16" s="40">
        <f t="shared" ref="I16:I19" si="4">2500*6</f>
        <v>15000</v>
      </c>
      <c r="J16" s="40">
        <f t="shared" ref="J16:J20" si="5">2500*1.03*12</f>
        <v>30900</v>
      </c>
      <c r="K16" s="40">
        <f t="shared" si="1"/>
        <v>31827</v>
      </c>
      <c r="L16" s="40">
        <f t="shared" si="1"/>
        <v>32781.81</v>
      </c>
      <c r="M16" s="40">
        <f t="shared" si="1"/>
        <v>33765.264299999995</v>
      </c>
      <c r="N16" s="40">
        <f t="shared" si="2"/>
        <v>17389.1111145</v>
      </c>
      <c r="O16" s="40">
        <f t="shared" si="3"/>
        <v>161663.18541449998</v>
      </c>
    </row>
    <row r="17" spans="1:15" x14ac:dyDescent="0.3">
      <c r="A17" s="14"/>
      <c r="B17" s="15"/>
      <c r="C17" s="17" t="s">
        <v>26</v>
      </c>
      <c r="D17" s="37">
        <f>O17*0.2</f>
        <v>32332.637082899997</v>
      </c>
      <c r="E17" s="37">
        <f>O17*0.2</f>
        <v>32332.637082899997</v>
      </c>
      <c r="F17" s="37">
        <f>O17*0.6</f>
        <v>96997.91124869998</v>
      </c>
      <c r="G17" s="37"/>
      <c r="H17" s="37">
        <f t="shared" si="0"/>
        <v>161663.18541449998</v>
      </c>
      <c r="I17" s="40">
        <f t="shared" si="4"/>
        <v>15000</v>
      </c>
      <c r="J17" s="40">
        <f t="shared" si="5"/>
        <v>30900</v>
      </c>
      <c r="K17" s="40">
        <f t="shared" si="1"/>
        <v>31827</v>
      </c>
      <c r="L17" s="40">
        <f t="shared" si="1"/>
        <v>32781.81</v>
      </c>
      <c r="M17" s="40">
        <f t="shared" si="1"/>
        <v>33765.264299999995</v>
      </c>
      <c r="N17" s="40">
        <f t="shared" si="2"/>
        <v>17389.1111145</v>
      </c>
      <c r="O17" s="40">
        <f t="shared" si="3"/>
        <v>161663.18541449998</v>
      </c>
    </row>
    <row r="18" spans="1:15" x14ac:dyDescent="0.3">
      <c r="A18" s="14"/>
      <c r="B18" s="15"/>
      <c r="C18" s="17" t="s">
        <v>27</v>
      </c>
      <c r="D18" s="37">
        <f>O18*0.2</f>
        <v>32332.637082899997</v>
      </c>
      <c r="E18" s="37">
        <f>O18*0.2</f>
        <v>32332.637082899997</v>
      </c>
      <c r="F18" s="37">
        <f>O18*0.6</f>
        <v>96997.91124869998</v>
      </c>
      <c r="G18" s="37"/>
      <c r="H18" s="37">
        <f t="shared" si="0"/>
        <v>161663.18541449998</v>
      </c>
      <c r="I18" s="40">
        <f t="shared" si="4"/>
        <v>15000</v>
      </c>
      <c r="J18" s="40">
        <f t="shared" si="5"/>
        <v>30900</v>
      </c>
      <c r="K18" s="40">
        <f t="shared" si="1"/>
        <v>31827</v>
      </c>
      <c r="L18" s="40">
        <f t="shared" si="1"/>
        <v>32781.81</v>
      </c>
      <c r="M18" s="40">
        <f t="shared" si="1"/>
        <v>33765.264299999995</v>
      </c>
      <c r="N18" s="40">
        <f t="shared" si="2"/>
        <v>17389.1111145</v>
      </c>
      <c r="O18" s="40">
        <f t="shared" si="3"/>
        <v>161663.18541449998</v>
      </c>
    </row>
    <row r="19" spans="1:15" x14ac:dyDescent="0.3">
      <c r="A19" s="14"/>
      <c r="B19" s="15"/>
      <c r="C19" s="17" t="s">
        <v>28</v>
      </c>
      <c r="D19" s="37">
        <f>O19*0.2</f>
        <v>32332.637082899997</v>
      </c>
      <c r="E19" s="37">
        <f>O19*0.2</f>
        <v>32332.637082899997</v>
      </c>
      <c r="F19" s="37">
        <f>O19*0.6</f>
        <v>96997.91124869998</v>
      </c>
      <c r="G19" s="37"/>
      <c r="H19" s="37">
        <f t="shared" si="0"/>
        <v>161663.18541449998</v>
      </c>
      <c r="I19" s="40">
        <f t="shared" si="4"/>
        <v>15000</v>
      </c>
      <c r="J19" s="40">
        <f t="shared" si="5"/>
        <v>30900</v>
      </c>
      <c r="K19" s="40">
        <f t="shared" si="1"/>
        <v>31827</v>
      </c>
      <c r="L19" s="40">
        <f t="shared" si="1"/>
        <v>32781.81</v>
      </c>
      <c r="M19" s="40">
        <f t="shared" si="1"/>
        <v>33765.264299999995</v>
      </c>
      <c r="N19" s="40">
        <f t="shared" si="2"/>
        <v>17389.1111145</v>
      </c>
      <c r="O19" s="40">
        <f t="shared" si="3"/>
        <v>161663.18541449998</v>
      </c>
    </row>
    <row r="20" spans="1:15" ht="26.4" x14ac:dyDescent="0.3">
      <c r="A20" s="14"/>
      <c r="B20" s="15">
        <v>1120</v>
      </c>
      <c r="C20" s="18" t="s">
        <v>124</v>
      </c>
      <c r="D20" s="37">
        <f>O20*0.1</f>
        <v>16166.318541449999</v>
      </c>
      <c r="E20" s="37">
        <f>O20*0.1</f>
        <v>16166.318541449999</v>
      </c>
      <c r="F20" s="37">
        <f>O20*0.1</f>
        <v>16166.318541449999</v>
      </c>
      <c r="G20" s="42">
        <f>O20*0.7</f>
        <v>113164.22979014998</v>
      </c>
      <c r="H20" s="37">
        <f t="shared" si="0"/>
        <v>161663.18541449998</v>
      </c>
      <c r="I20" s="40">
        <f>2500*6</f>
        <v>15000</v>
      </c>
      <c r="J20" s="40">
        <f t="shared" si="5"/>
        <v>30900</v>
      </c>
      <c r="K20" s="40">
        <f t="shared" si="1"/>
        <v>31827</v>
      </c>
      <c r="L20" s="40">
        <f t="shared" si="1"/>
        <v>32781.81</v>
      </c>
      <c r="M20" s="40">
        <f t="shared" si="1"/>
        <v>33765.264299999995</v>
      </c>
      <c r="N20" s="40">
        <f t="shared" si="2"/>
        <v>17389.1111145</v>
      </c>
      <c r="O20" s="40">
        <f t="shared" si="3"/>
        <v>161663.18541449998</v>
      </c>
    </row>
    <row r="21" spans="1:15" x14ac:dyDescent="0.3">
      <c r="A21" s="14"/>
      <c r="B21" s="12">
        <v>1200</v>
      </c>
      <c r="C21" s="13" t="s">
        <v>29</v>
      </c>
      <c r="D21" s="43"/>
      <c r="E21" s="43"/>
      <c r="F21" s="43"/>
      <c r="G21" s="43"/>
      <c r="H21" s="37">
        <f t="shared" si="0"/>
        <v>0</v>
      </c>
      <c r="I21" s="44"/>
      <c r="J21" s="44"/>
      <c r="K21" s="45">
        <f t="shared" si="1"/>
        <v>0</v>
      </c>
      <c r="L21" s="44"/>
      <c r="M21" s="44"/>
      <c r="N21" s="44"/>
      <c r="O21" s="40">
        <f t="shared" si="3"/>
        <v>0</v>
      </c>
    </row>
    <row r="22" spans="1:15" x14ac:dyDescent="0.3">
      <c r="A22" s="14"/>
      <c r="B22" s="15">
        <v>1201</v>
      </c>
      <c r="C22" s="19" t="s">
        <v>30</v>
      </c>
      <c r="D22" s="43"/>
      <c r="E22" s="43"/>
      <c r="F22" s="43"/>
      <c r="G22" s="43"/>
      <c r="H22" s="37">
        <f t="shared" si="0"/>
        <v>0</v>
      </c>
      <c r="I22" s="44"/>
      <c r="J22" s="44"/>
      <c r="K22" s="44"/>
      <c r="L22" s="44"/>
      <c r="M22" s="44"/>
      <c r="N22" s="44"/>
      <c r="O22" s="40">
        <f t="shared" si="3"/>
        <v>0</v>
      </c>
    </row>
    <row r="23" spans="1:15" x14ac:dyDescent="0.3">
      <c r="A23" s="14"/>
      <c r="B23" s="15">
        <v>1202</v>
      </c>
      <c r="C23" s="20" t="s">
        <v>31</v>
      </c>
      <c r="D23" s="43"/>
      <c r="E23" s="43"/>
      <c r="F23" s="43"/>
      <c r="G23" s="43"/>
      <c r="H23" s="37">
        <f t="shared" si="0"/>
        <v>0</v>
      </c>
      <c r="I23" s="44"/>
      <c r="J23" s="44"/>
      <c r="K23" s="44"/>
      <c r="L23" s="44"/>
      <c r="M23" s="44"/>
      <c r="N23" s="44"/>
      <c r="O23" s="40">
        <f t="shared" si="3"/>
        <v>0</v>
      </c>
    </row>
    <row r="24" spans="1:15" x14ac:dyDescent="0.3">
      <c r="A24" s="14"/>
      <c r="B24" s="15"/>
      <c r="C24" s="20" t="s">
        <v>32</v>
      </c>
      <c r="D24" s="43"/>
      <c r="E24" s="43"/>
      <c r="F24" s="43"/>
      <c r="G24" s="43"/>
      <c r="H24" s="37">
        <f t="shared" si="0"/>
        <v>0</v>
      </c>
      <c r="I24" s="44"/>
      <c r="J24" s="44"/>
      <c r="K24" s="44"/>
      <c r="L24" s="44"/>
      <c r="M24" s="44"/>
      <c r="N24" s="44"/>
      <c r="O24" s="40">
        <f t="shared" si="3"/>
        <v>0</v>
      </c>
    </row>
    <row r="25" spans="1:15" ht="145.19999999999999" x14ac:dyDescent="0.3">
      <c r="A25" s="14"/>
      <c r="B25" s="15"/>
      <c r="C25" s="20" t="s">
        <v>103</v>
      </c>
      <c r="D25" s="46">
        <f>O25</f>
        <v>241369</v>
      </c>
      <c r="E25" s="43"/>
      <c r="F25" s="43"/>
      <c r="G25" s="43"/>
      <c r="H25" s="37">
        <f>SUM(D25:G25)</f>
        <v>241369</v>
      </c>
      <c r="I25" s="44">
        <v>50000</v>
      </c>
      <c r="J25" s="44">
        <v>90000</v>
      </c>
      <c r="K25" s="44">
        <v>60000</v>
      </c>
      <c r="L25" s="44">
        <v>20000</v>
      </c>
      <c r="M25" s="44">
        <v>11369</v>
      </c>
      <c r="N25" s="44">
        <v>10000</v>
      </c>
      <c r="O25" s="40">
        <f t="shared" si="3"/>
        <v>241369</v>
      </c>
    </row>
    <row r="26" spans="1:15" ht="79.2" x14ac:dyDescent="0.3">
      <c r="A26" s="14"/>
      <c r="B26" s="15"/>
      <c r="C26" s="20" t="s">
        <v>104</v>
      </c>
      <c r="D26" s="46">
        <f>O26</f>
        <v>182000</v>
      </c>
      <c r="E26" s="43"/>
      <c r="F26" s="43"/>
      <c r="G26" s="43"/>
      <c r="H26" s="37">
        <f t="shared" si="0"/>
        <v>182000</v>
      </c>
      <c r="I26" s="44">
        <v>30000</v>
      </c>
      <c r="J26" s="44">
        <v>110000</v>
      </c>
      <c r="K26" s="44">
        <v>42000</v>
      </c>
      <c r="L26" s="44"/>
      <c r="M26" s="44"/>
      <c r="N26" s="44"/>
      <c r="O26" s="40">
        <f t="shared" si="3"/>
        <v>182000</v>
      </c>
    </row>
    <row r="27" spans="1:15" ht="52.8" x14ac:dyDescent="0.3">
      <c r="A27" s="14"/>
      <c r="B27" s="15"/>
      <c r="C27" s="20" t="s">
        <v>105</v>
      </c>
      <c r="D27" s="46">
        <f>O27*0.5</f>
        <v>110000</v>
      </c>
      <c r="E27" s="43"/>
      <c r="F27" s="46">
        <f>O27*0.5</f>
        <v>110000</v>
      </c>
      <c r="G27" s="43"/>
      <c r="H27" s="37">
        <f t="shared" si="0"/>
        <v>220000</v>
      </c>
      <c r="I27" s="44">
        <v>30000</v>
      </c>
      <c r="J27" s="44">
        <v>150000</v>
      </c>
      <c r="K27" s="44">
        <v>40000</v>
      </c>
      <c r="L27" s="44"/>
      <c r="M27" s="44"/>
      <c r="N27" s="44"/>
      <c r="O27" s="40">
        <f t="shared" si="3"/>
        <v>220000</v>
      </c>
    </row>
    <row r="28" spans="1:15" ht="171.6" x14ac:dyDescent="0.3">
      <c r="A28" s="14"/>
      <c r="B28" s="15"/>
      <c r="C28" s="20" t="s">
        <v>106</v>
      </c>
      <c r="D28" s="46"/>
      <c r="E28" s="43"/>
      <c r="F28" s="46">
        <f>O28</f>
        <v>80000</v>
      </c>
      <c r="G28" s="43"/>
      <c r="H28" s="37">
        <f t="shared" si="0"/>
        <v>80000</v>
      </c>
      <c r="I28" s="44"/>
      <c r="J28" s="44">
        <v>50000</v>
      </c>
      <c r="K28" s="44">
        <v>30000</v>
      </c>
      <c r="L28" s="44"/>
      <c r="M28" s="44"/>
      <c r="N28" s="44"/>
      <c r="O28" s="40">
        <f t="shared" ref="O28:O29" si="6">SUM(I28:N28)</f>
        <v>80000</v>
      </c>
    </row>
    <row r="29" spans="1:15" ht="79.2" x14ac:dyDescent="0.3">
      <c r="A29" s="14"/>
      <c r="B29" s="15"/>
      <c r="C29" s="20" t="s">
        <v>107</v>
      </c>
      <c r="D29" s="43"/>
      <c r="E29" s="46">
        <f>O29</f>
        <v>40000</v>
      </c>
      <c r="F29" s="43"/>
      <c r="G29" s="43"/>
      <c r="H29" s="37">
        <f t="shared" si="0"/>
        <v>40000</v>
      </c>
      <c r="I29" s="44">
        <v>10000</v>
      </c>
      <c r="J29" s="44">
        <v>30000</v>
      </c>
      <c r="K29" s="44"/>
      <c r="L29" s="44"/>
      <c r="M29" s="44"/>
      <c r="N29" s="44"/>
      <c r="O29" s="40">
        <f t="shared" si="6"/>
        <v>40000</v>
      </c>
    </row>
    <row r="30" spans="1:15" ht="118.8" x14ac:dyDescent="0.3">
      <c r="A30" s="14"/>
      <c r="B30" s="15"/>
      <c r="C30" s="20" t="s">
        <v>108</v>
      </c>
      <c r="D30" s="46">
        <f>O30*0.5</f>
        <v>83500</v>
      </c>
      <c r="E30" s="46">
        <f>O30*0.1</f>
        <v>16700</v>
      </c>
      <c r="F30" s="46">
        <f>O30*0.4</f>
        <v>66800</v>
      </c>
      <c r="G30" s="43"/>
      <c r="H30" s="37">
        <f t="shared" si="0"/>
        <v>167000</v>
      </c>
      <c r="I30" s="44">
        <v>15000</v>
      </c>
      <c r="J30" s="44">
        <v>30000</v>
      </c>
      <c r="K30" s="44">
        <v>32000</v>
      </c>
      <c r="L30" s="44">
        <v>34000</v>
      </c>
      <c r="M30" s="44">
        <v>36000</v>
      </c>
      <c r="N30" s="44">
        <v>20000</v>
      </c>
      <c r="O30" s="40">
        <f t="shared" si="3"/>
        <v>167000</v>
      </c>
    </row>
    <row r="31" spans="1:15" ht="118.8" x14ac:dyDescent="0.3">
      <c r="A31" s="14"/>
      <c r="B31" s="15"/>
      <c r="C31" s="20" t="s">
        <v>109</v>
      </c>
      <c r="D31" s="43"/>
      <c r="E31" s="46">
        <f>O31*0.8</f>
        <v>36800</v>
      </c>
      <c r="F31" s="46">
        <f>O31*0.2</f>
        <v>9200</v>
      </c>
      <c r="G31" s="43"/>
      <c r="H31" s="37">
        <f t="shared" si="0"/>
        <v>46000</v>
      </c>
      <c r="I31" s="44"/>
      <c r="J31" s="44"/>
      <c r="K31" s="44"/>
      <c r="L31" s="44">
        <v>20000</v>
      </c>
      <c r="M31" s="44">
        <v>20000</v>
      </c>
      <c r="N31" s="44">
        <v>6000</v>
      </c>
      <c r="O31" s="40">
        <f t="shared" ref="O31:O36" si="7">SUM(I31:N31)</f>
        <v>46000</v>
      </c>
    </row>
    <row r="32" spans="1:15" ht="171.6" x14ac:dyDescent="0.3">
      <c r="A32" s="14"/>
      <c r="B32" s="15"/>
      <c r="C32" s="20" t="s">
        <v>110</v>
      </c>
      <c r="D32" s="43"/>
      <c r="E32" s="46">
        <f>O32</f>
        <v>38415</v>
      </c>
      <c r="F32" s="43"/>
      <c r="G32" s="43"/>
      <c r="H32" s="37">
        <f t="shared" si="0"/>
        <v>38415</v>
      </c>
      <c r="I32" s="44"/>
      <c r="J32" s="44">
        <v>17415</v>
      </c>
      <c r="K32" s="44">
        <v>7000</v>
      </c>
      <c r="L32" s="44">
        <v>7000</v>
      </c>
      <c r="M32" s="44">
        <v>7000</v>
      </c>
      <c r="N32" s="44"/>
      <c r="O32" s="40">
        <f t="shared" si="7"/>
        <v>38415</v>
      </c>
    </row>
    <row r="33" spans="1:15" ht="158.4" x14ac:dyDescent="0.3">
      <c r="A33" s="14"/>
      <c r="B33" s="15"/>
      <c r="C33" s="20" t="s">
        <v>111</v>
      </c>
      <c r="D33" s="43"/>
      <c r="E33" s="46">
        <f>O33</f>
        <v>100000</v>
      </c>
      <c r="F33" s="43"/>
      <c r="G33" s="43"/>
      <c r="H33" s="37">
        <f t="shared" si="0"/>
        <v>100000</v>
      </c>
      <c r="I33" s="44">
        <v>10000</v>
      </c>
      <c r="J33" s="44">
        <v>70000</v>
      </c>
      <c r="K33" s="44">
        <v>20000</v>
      </c>
      <c r="L33" s="44"/>
      <c r="M33" s="44"/>
      <c r="N33" s="44"/>
      <c r="O33" s="40">
        <f>SUM(I33:N33)</f>
        <v>100000</v>
      </c>
    </row>
    <row r="34" spans="1:15" ht="66" x14ac:dyDescent="0.3">
      <c r="A34" s="14"/>
      <c r="B34" s="15"/>
      <c r="C34" s="20" t="s">
        <v>112</v>
      </c>
      <c r="D34" s="43"/>
      <c r="E34" s="46">
        <f>O34</f>
        <v>7000</v>
      </c>
      <c r="F34" s="43"/>
      <c r="G34" s="43"/>
      <c r="H34" s="37">
        <f t="shared" si="0"/>
        <v>7000</v>
      </c>
      <c r="I34" s="44"/>
      <c r="J34" s="44"/>
      <c r="K34" s="44">
        <v>7000</v>
      </c>
      <c r="L34" s="44"/>
      <c r="M34" s="44"/>
      <c r="N34" s="44"/>
      <c r="O34" s="40">
        <f t="shared" si="7"/>
        <v>7000</v>
      </c>
    </row>
    <row r="35" spans="1:15" ht="92.4" x14ac:dyDescent="0.3">
      <c r="A35" s="14"/>
      <c r="B35" s="15"/>
      <c r="C35" s="20" t="s">
        <v>113</v>
      </c>
      <c r="D35" s="43"/>
      <c r="E35" s="43"/>
      <c r="F35" s="46">
        <f>O35</f>
        <v>100000</v>
      </c>
      <c r="G35" s="43"/>
      <c r="H35" s="37">
        <f t="shared" si="0"/>
        <v>100000</v>
      </c>
      <c r="I35" s="44"/>
      <c r="J35" s="44">
        <v>45000</v>
      </c>
      <c r="K35" s="44">
        <v>20000</v>
      </c>
      <c r="L35" s="44">
        <v>20000</v>
      </c>
      <c r="M35" s="44">
        <v>15000</v>
      </c>
      <c r="N35" s="44"/>
      <c r="O35" s="40">
        <f t="shared" si="7"/>
        <v>100000</v>
      </c>
    </row>
    <row r="36" spans="1:15" ht="52.8" x14ac:dyDescent="0.3">
      <c r="A36" s="14"/>
      <c r="B36" s="15"/>
      <c r="C36" s="20" t="s">
        <v>114</v>
      </c>
      <c r="D36" s="46">
        <f>O36</f>
        <v>12000</v>
      </c>
      <c r="E36" s="43"/>
      <c r="F36" s="46"/>
      <c r="G36" s="43"/>
      <c r="H36" s="37">
        <f t="shared" si="0"/>
        <v>12000</v>
      </c>
      <c r="I36" s="44">
        <v>7000</v>
      </c>
      <c r="J36" s="44">
        <v>5000</v>
      </c>
      <c r="K36" s="44"/>
      <c r="L36" s="44"/>
      <c r="M36" s="44"/>
      <c r="N36" s="44"/>
      <c r="O36" s="40">
        <f t="shared" si="7"/>
        <v>12000</v>
      </c>
    </row>
    <row r="37" spans="1:15" ht="52.8" x14ac:dyDescent="0.3">
      <c r="A37" s="14"/>
      <c r="B37" s="15"/>
      <c r="C37" s="20" t="s">
        <v>115</v>
      </c>
      <c r="D37" s="46">
        <f>O37*0.05</f>
        <v>4250</v>
      </c>
      <c r="E37" s="46">
        <f>O37*0.2</f>
        <v>17000</v>
      </c>
      <c r="F37" s="46">
        <f>O37*0.75</f>
        <v>63750</v>
      </c>
      <c r="G37" s="43"/>
      <c r="H37" s="37">
        <f t="shared" si="0"/>
        <v>85000</v>
      </c>
      <c r="I37" s="44">
        <v>25000</v>
      </c>
      <c r="J37" s="44">
        <v>60000</v>
      </c>
      <c r="K37" s="44"/>
      <c r="L37" s="44"/>
      <c r="M37" s="44"/>
      <c r="N37" s="44"/>
      <c r="O37" s="40">
        <f t="shared" si="3"/>
        <v>85000</v>
      </c>
    </row>
    <row r="38" spans="1:15" ht="66" x14ac:dyDescent="0.3">
      <c r="A38" s="14"/>
      <c r="B38" s="15"/>
      <c r="C38" s="20" t="s">
        <v>116</v>
      </c>
      <c r="D38" s="43"/>
      <c r="E38" s="43"/>
      <c r="F38" s="46">
        <f>O38</f>
        <v>30000</v>
      </c>
      <c r="G38" s="43"/>
      <c r="H38" s="37">
        <f t="shared" si="0"/>
        <v>30000</v>
      </c>
      <c r="I38" s="44"/>
      <c r="J38" s="44">
        <v>10000</v>
      </c>
      <c r="K38" s="44">
        <v>10000</v>
      </c>
      <c r="L38" s="44">
        <v>10000</v>
      </c>
      <c r="M38" s="44"/>
      <c r="N38" s="44"/>
      <c r="O38" s="40">
        <f t="shared" ref="O38" si="8">SUM(I38:N38)</f>
        <v>30000</v>
      </c>
    </row>
    <row r="39" spans="1:15" ht="92.4" x14ac:dyDescent="0.3">
      <c r="A39" s="14"/>
      <c r="B39" s="15"/>
      <c r="C39" s="20" t="s">
        <v>117</v>
      </c>
      <c r="D39" s="43"/>
      <c r="E39" s="43"/>
      <c r="F39" s="46">
        <f>O39</f>
        <v>7000</v>
      </c>
      <c r="G39" s="43"/>
      <c r="H39" s="37">
        <f t="shared" si="0"/>
        <v>7000</v>
      </c>
      <c r="I39" s="44"/>
      <c r="J39" s="44"/>
      <c r="K39" s="44"/>
      <c r="L39" s="44">
        <v>7000</v>
      </c>
      <c r="M39" s="44"/>
      <c r="N39" s="44"/>
      <c r="O39" s="40">
        <f t="shared" si="3"/>
        <v>7000</v>
      </c>
    </row>
    <row r="40" spans="1:15" ht="26.4" x14ac:dyDescent="0.3">
      <c r="A40" s="14"/>
      <c r="B40" s="15"/>
      <c r="C40" s="20" t="s">
        <v>118</v>
      </c>
      <c r="D40" s="46">
        <f>O40*0.3</f>
        <v>9000</v>
      </c>
      <c r="E40" s="46">
        <f>O40*0.3</f>
        <v>9000</v>
      </c>
      <c r="F40" s="46">
        <f>O40*0.4</f>
        <v>12000</v>
      </c>
      <c r="G40" s="43"/>
      <c r="H40" s="37">
        <f t="shared" si="0"/>
        <v>30000</v>
      </c>
      <c r="I40" s="44">
        <v>5000</v>
      </c>
      <c r="J40" s="44">
        <v>5000</v>
      </c>
      <c r="K40" s="44">
        <v>5000</v>
      </c>
      <c r="L40" s="44">
        <v>5000</v>
      </c>
      <c r="M40" s="44">
        <v>5000</v>
      </c>
      <c r="N40" s="44">
        <v>5000</v>
      </c>
      <c r="O40" s="40">
        <f t="shared" si="3"/>
        <v>30000</v>
      </c>
    </row>
    <row r="41" spans="1:15" x14ac:dyDescent="0.3">
      <c r="A41" s="14"/>
      <c r="B41" s="12">
        <v>1600</v>
      </c>
      <c r="C41" s="13" t="s">
        <v>33</v>
      </c>
      <c r="D41" s="43"/>
      <c r="E41" s="43"/>
      <c r="F41" s="43"/>
      <c r="G41" s="43"/>
      <c r="H41" s="37">
        <f t="shared" si="0"/>
        <v>0</v>
      </c>
      <c r="I41" s="44"/>
      <c r="J41" s="44"/>
      <c r="K41" s="44"/>
      <c r="L41" s="44"/>
      <c r="M41" s="44"/>
      <c r="N41" s="44"/>
      <c r="O41" s="40">
        <f t="shared" si="3"/>
        <v>0</v>
      </c>
    </row>
    <row r="42" spans="1:15" x14ac:dyDescent="0.3">
      <c r="A42" s="14"/>
      <c r="B42" s="15">
        <v>1601</v>
      </c>
      <c r="C42" s="21" t="s">
        <v>34</v>
      </c>
      <c r="D42" s="46">
        <f>O42*0.1</f>
        <v>19500</v>
      </c>
      <c r="E42" s="46">
        <f>O42*0.2</f>
        <v>39000</v>
      </c>
      <c r="F42" s="46">
        <f>O42*0.7</f>
        <v>136500</v>
      </c>
      <c r="G42" s="43"/>
      <c r="H42" s="37">
        <f t="shared" si="0"/>
        <v>195000</v>
      </c>
      <c r="I42" s="44">
        <v>20000</v>
      </c>
      <c r="J42" s="44">
        <v>35000</v>
      </c>
      <c r="K42" s="44">
        <v>40000</v>
      </c>
      <c r="L42" s="44">
        <v>40000</v>
      </c>
      <c r="M42" s="44">
        <v>40000</v>
      </c>
      <c r="N42" s="44">
        <v>20000</v>
      </c>
      <c r="O42" s="40">
        <f t="shared" si="3"/>
        <v>195000</v>
      </c>
    </row>
    <row r="43" spans="1:15" x14ac:dyDescent="0.3">
      <c r="A43" s="22">
        <v>1999</v>
      </c>
      <c r="B43" s="23" t="s">
        <v>35</v>
      </c>
      <c r="C43" s="23"/>
      <c r="D43" s="46"/>
      <c r="E43" s="46"/>
      <c r="F43" s="46"/>
      <c r="G43" s="43"/>
      <c r="H43" s="37">
        <f t="shared" si="0"/>
        <v>0</v>
      </c>
      <c r="I43" s="44"/>
      <c r="J43" s="44"/>
      <c r="K43" s="44"/>
      <c r="L43" s="44"/>
      <c r="M43" s="44"/>
      <c r="N43" s="44"/>
      <c r="O43" s="40">
        <f t="shared" si="3"/>
        <v>0</v>
      </c>
    </row>
    <row r="44" spans="1:15" x14ac:dyDescent="0.3">
      <c r="A44" s="14"/>
      <c r="B44" s="14"/>
      <c r="C44" s="13"/>
      <c r="D44" s="46"/>
      <c r="E44" s="46"/>
      <c r="F44" s="46"/>
      <c r="G44" s="43"/>
      <c r="H44" s="37">
        <f t="shared" si="0"/>
        <v>0</v>
      </c>
      <c r="I44" s="44"/>
      <c r="J44" s="44"/>
      <c r="K44" s="44"/>
      <c r="L44" s="44"/>
      <c r="M44" s="44"/>
      <c r="N44" s="44"/>
      <c r="O44" s="40">
        <f t="shared" si="3"/>
        <v>0</v>
      </c>
    </row>
    <row r="45" spans="1:15" x14ac:dyDescent="0.3">
      <c r="A45" s="12">
        <v>20</v>
      </c>
      <c r="B45" s="24" t="s">
        <v>36</v>
      </c>
      <c r="C45" s="24"/>
      <c r="D45" s="46"/>
      <c r="E45" s="46"/>
      <c r="F45" s="46"/>
      <c r="G45" s="43"/>
      <c r="H45" s="37">
        <f t="shared" si="0"/>
        <v>0</v>
      </c>
      <c r="I45" s="44"/>
      <c r="J45" s="44"/>
      <c r="K45" s="44"/>
      <c r="L45" s="44"/>
      <c r="M45" s="44"/>
      <c r="N45" s="44"/>
      <c r="O45" s="40">
        <f t="shared" si="3"/>
        <v>0</v>
      </c>
    </row>
    <row r="46" spans="1:15" x14ac:dyDescent="0.3">
      <c r="A46" s="14"/>
      <c r="B46" s="25">
        <v>2200</v>
      </c>
      <c r="C46" s="26" t="s">
        <v>66</v>
      </c>
      <c r="D46" s="46"/>
      <c r="E46" s="46"/>
      <c r="F46" s="46"/>
      <c r="G46" s="43"/>
      <c r="H46" s="37">
        <f t="shared" si="0"/>
        <v>0</v>
      </c>
      <c r="I46" s="44"/>
      <c r="J46" s="44"/>
      <c r="K46" s="44"/>
      <c r="L46" s="44"/>
      <c r="M46" s="44"/>
      <c r="N46" s="44"/>
      <c r="O46" s="40">
        <f t="shared" si="3"/>
        <v>0</v>
      </c>
    </row>
    <row r="47" spans="1:15" ht="26.4" x14ac:dyDescent="0.3">
      <c r="A47" s="14"/>
      <c r="B47" s="27">
        <v>2201</v>
      </c>
      <c r="C47" s="20" t="s">
        <v>37</v>
      </c>
      <c r="D47" s="46"/>
      <c r="E47" s="46"/>
      <c r="F47" s="46"/>
      <c r="G47" s="43"/>
      <c r="H47" s="37">
        <f t="shared" si="0"/>
        <v>0</v>
      </c>
      <c r="I47" s="44"/>
      <c r="J47" s="44"/>
      <c r="K47" s="44"/>
      <c r="L47" s="44"/>
      <c r="M47" s="44"/>
      <c r="N47" s="44"/>
      <c r="O47" s="40">
        <f t="shared" si="3"/>
        <v>0</v>
      </c>
    </row>
    <row r="48" spans="1:15" x14ac:dyDescent="0.3">
      <c r="A48" s="14"/>
      <c r="B48" s="25">
        <v>2300</v>
      </c>
      <c r="C48" s="26" t="s">
        <v>38</v>
      </c>
      <c r="D48" s="46"/>
      <c r="E48" s="46"/>
      <c r="F48" s="46"/>
      <c r="G48" s="43"/>
      <c r="H48" s="37">
        <f t="shared" si="0"/>
        <v>0</v>
      </c>
      <c r="I48" s="44"/>
      <c r="J48" s="44"/>
      <c r="K48" s="44"/>
      <c r="L48" s="44"/>
      <c r="M48" s="44"/>
      <c r="N48" s="44"/>
      <c r="O48" s="40">
        <f t="shared" si="3"/>
        <v>0</v>
      </c>
    </row>
    <row r="49" spans="1:15" ht="26.4" x14ac:dyDescent="0.3">
      <c r="A49" s="14"/>
      <c r="B49" s="15">
        <v>2301</v>
      </c>
      <c r="C49" s="20" t="s">
        <v>39</v>
      </c>
      <c r="D49" s="46"/>
      <c r="E49" s="46"/>
      <c r="F49" s="46"/>
      <c r="G49" s="43"/>
      <c r="H49" s="37">
        <f t="shared" si="0"/>
        <v>0</v>
      </c>
      <c r="I49" s="44"/>
      <c r="J49" s="44"/>
      <c r="K49" s="44"/>
      <c r="L49" s="44"/>
      <c r="M49" s="44"/>
      <c r="N49" s="44"/>
      <c r="O49" s="40">
        <f t="shared" si="3"/>
        <v>0</v>
      </c>
    </row>
    <row r="50" spans="1:15" ht="52.8" x14ac:dyDescent="0.3">
      <c r="A50" s="14"/>
      <c r="B50" s="15"/>
      <c r="C50" s="20" t="s">
        <v>119</v>
      </c>
      <c r="D50" s="46"/>
      <c r="E50" s="46"/>
      <c r="F50" s="46">
        <f>O50</f>
        <v>240000</v>
      </c>
      <c r="G50" s="43"/>
      <c r="H50" s="37">
        <f t="shared" si="0"/>
        <v>240000</v>
      </c>
      <c r="I50" s="44">
        <v>25000</v>
      </c>
      <c r="J50" s="44">
        <v>50000</v>
      </c>
      <c r="K50" s="44">
        <v>50000</v>
      </c>
      <c r="L50" s="44">
        <v>50000</v>
      </c>
      <c r="M50" s="44">
        <v>40000</v>
      </c>
      <c r="N50" s="44">
        <v>25000</v>
      </c>
      <c r="O50" s="40">
        <f t="shared" si="3"/>
        <v>240000</v>
      </c>
    </row>
    <row r="51" spans="1:15" ht="92.4" x14ac:dyDescent="0.3">
      <c r="A51" s="14"/>
      <c r="B51" s="15"/>
      <c r="C51" s="20" t="s">
        <v>120</v>
      </c>
      <c r="D51" s="46"/>
      <c r="E51" s="46">
        <f>O51*0.05</f>
        <v>23143.75</v>
      </c>
      <c r="F51" s="46">
        <f>O51*0.95</f>
        <v>439731.25</v>
      </c>
      <c r="G51" s="43"/>
      <c r="H51" s="37">
        <f t="shared" si="0"/>
        <v>462875</v>
      </c>
      <c r="I51" s="44"/>
      <c r="J51" s="44"/>
      <c r="K51" s="44">
        <v>170000</v>
      </c>
      <c r="L51" s="44">
        <v>170000</v>
      </c>
      <c r="M51" s="44">
        <v>100000</v>
      </c>
      <c r="N51" s="44">
        <v>22875</v>
      </c>
      <c r="O51" s="40">
        <f t="shared" si="3"/>
        <v>462875</v>
      </c>
    </row>
    <row r="52" spans="1:15" ht="66" x14ac:dyDescent="0.3">
      <c r="A52" s="14"/>
      <c r="B52" s="15"/>
      <c r="C52" s="52" t="s">
        <v>121</v>
      </c>
      <c r="D52" s="46"/>
      <c r="E52" s="46">
        <f>O52*0.2</f>
        <v>12000</v>
      </c>
      <c r="F52" s="46">
        <f>O52*0.8</f>
        <v>48000</v>
      </c>
      <c r="G52" s="43"/>
      <c r="H52" s="37">
        <f t="shared" si="0"/>
        <v>60000</v>
      </c>
      <c r="I52" s="44"/>
      <c r="J52" s="44"/>
      <c r="K52" s="44"/>
      <c r="L52" s="44">
        <v>40000</v>
      </c>
      <c r="M52" s="44">
        <v>20000</v>
      </c>
      <c r="N52" s="44"/>
      <c r="O52" s="40">
        <f t="shared" si="3"/>
        <v>60000</v>
      </c>
    </row>
    <row r="53" spans="1:15" ht="92.4" x14ac:dyDescent="0.3">
      <c r="A53" s="14"/>
      <c r="B53" s="15"/>
      <c r="C53" s="20" t="s">
        <v>122</v>
      </c>
      <c r="D53" s="46"/>
      <c r="E53" s="46">
        <f>O53*0.1</f>
        <v>13000</v>
      </c>
      <c r="F53" s="46">
        <f>O53*0.9</f>
        <v>117000</v>
      </c>
      <c r="G53" s="43"/>
      <c r="H53" s="37">
        <f t="shared" si="0"/>
        <v>130000</v>
      </c>
      <c r="I53" s="44"/>
      <c r="J53" s="44">
        <v>10000</v>
      </c>
      <c r="K53" s="44">
        <v>40000</v>
      </c>
      <c r="L53" s="44">
        <v>40000</v>
      </c>
      <c r="M53" s="44">
        <v>40000</v>
      </c>
      <c r="N53" s="44"/>
      <c r="O53" s="40">
        <f t="shared" si="3"/>
        <v>130000</v>
      </c>
    </row>
    <row r="54" spans="1:15" ht="118.8" x14ac:dyDescent="0.3">
      <c r="A54" s="14"/>
      <c r="B54" s="15"/>
      <c r="C54" s="20" t="s">
        <v>137</v>
      </c>
      <c r="D54" s="46"/>
      <c r="E54" s="46"/>
      <c r="F54" s="46">
        <f>O54</f>
        <v>180121</v>
      </c>
      <c r="G54" s="43"/>
      <c r="H54" s="37">
        <f t="shared" si="0"/>
        <v>180121</v>
      </c>
      <c r="I54" s="44"/>
      <c r="J54" s="44">
        <v>25000</v>
      </c>
      <c r="K54" s="44">
        <v>50000</v>
      </c>
      <c r="L54" s="44">
        <v>50000</v>
      </c>
      <c r="M54" s="44">
        <v>50000</v>
      </c>
      <c r="N54" s="44">
        <v>5121</v>
      </c>
      <c r="O54" s="40">
        <f t="shared" si="3"/>
        <v>180121</v>
      </c>
    </row>
    <row r="55" spans="1:15" ht="79.2" x14ac:dyDescent="0.3">
      <c r="A55" s="28"/>
      <c r="B55" s="15"/>
      <c r="C55" s="20" t="s">
        <v>123</v>
      </c>
      <c r="D55" s="46"/>
      <c r="E55" s="46"/>
      <c r="F55" s="46">
        <f>O55</f>
        <v>110000</v>
      </c>
      <c r="G55" s="43"/>
      <c r="H55" s="37">
        <f t="shared" si="0"/>
        <v>110000</v>
      </c>
      <c r="I55" s="44">
        <v>10000</v>
      </c>
      <c r="J55" s="44">
        <v>20000</v>
      </c>
      <c r="K55" s="44">
        <v>20000</v>
      </c>
      <c r="L55" s="44">
        <v>20000</v>
      </c>
      <c r="M55" s="44">
        <v>20000</v>
      </c>
      <c r="N55" s="44">
        <v>20000</v>
      </c>
      <c r="O55" s="40">
        <f t="shared" si="3"/>
        <v>110000</v>
      </c>
    </row>
    <row r="56" spans="1:15" x14ac:dyDescent="0.3">
      <c r="A56" s="22">
        <v>2999</v>
      </c>
      <c r="B56" s="23" t="s">
        <v>35</v>
      </c>
      <c r="C56" s="23"/>
      <c r="D56" s="46"/>
      <c r="E56" s="46"/>
      <c r="F56" s="46"/>
      <c r="G56" s="43"/>
      <c r="H56" s="37">
        <f t="shared" si="0"/>
        <v>0</v>
      </c>
      <c r="I56" s="44"/>
      <c r="J56" s="44"/>
      <c r="K56" s="44"/>
      <c r="L56" s="44"/>
      <c r="M56" s="44"/>
      <c r="N56" s="44"/>
      <c r="O56" s="40">
        <f t="shared" si="3"/>
        <v>0</v>
      </c>
    </row>
    <row r="57" spans="1:15" x14ac:dyDescent="0.3">
      <c r="A57" s="14"/>
      <c r="B57" s="14"/>
      <c r="C57" s="13"/>
      <c r="D57" s="46"/>
      <c r="E57" s="46"/>
      <c r="F57" s="46"/>
      <c r="G57" s="43"/>
      <c r="H57" s="37">
        <f t="shared" si="0"/>
        <v>0</v>
      </c>
      <c r="I57" s="44"/>
      <c r="J57" s="44"/>
      <c r="K57" s="44"/>
      <c r="L57" s="44"/>
      <c r="M57" s="44"/>
      <c r="N57" s="44"/>
      <c r="O57" s="40">
        <f t="shared" si="3"/>
        <v>0</v>
      </c>
    </row>
    <row r="58" spans="1:15" x14ac:dyDescent="0.3">
      <c r="A58" s="12">
        <v>30</v>
      </c>
      <c r="B58" s="24" t="s">
        <v>40</v>
      </c>
      <c r="C58" s="24"/>
      <c r="D58" s="46"/>
      <c r="E58" s="46"/>
      <c r="F58" s="46"/>
      <c r="G58" s="43"/>
      <c r="H58" s="37">
        <f t="shared" si="0"/>
        <v>0</v>
      </c>
      <c r="I58" s="44"/>
      <c r="J58" s="44"/>
      <c r="K58" s="44"/>
      <c r="L58" s="44"/>
      <c r="M58" s="44"/>
      <c r="N58" s="44"/>
      <c r="O58" s="40">
        <f t="shared" si="3"/>
        <v>0</v>
      </c>
    </row>
    <row r="59" spans="1:15" x14ac:dyDescent="0.3">
      <c r="A59" s="14"/>
      <c r="B59" s="25">
        <v>3200</v>
      </c>
      <c r="C59" s="28" t="s">
        <v>41</v>
      </c>
      <c r="D59" s="46"/>
      <c r="E59" s="46"/>
      <c r="F59" s="46"/>
      <c r="G59" s="43"/>
      <c r="H59" s="37">
        <f t="shared" si="0"/>
        <v>0</v>
      </c>
      <c r="I59" s="44"/>
      <c r="J59" s="44"/>
      <c r="K59" s="44"/>
      <c r="L59" s="44"/>
      <c r="M59" s="44"/>
      <c r="N59" s="44"/>
      <c r="O59" s="40">
        <f t="shared" si="3"/>
        <v>0</v>
      </c>
    </row>
    <row r="60" spans="1:15" x14ac:dyDescent="0.3">
      <c r="A60" s="14"/>
      <c r="B60" s="15">
        <v>3201</v>
      </c>
      <c r="C60" s="20" t="s">
        <v>42</v>
      </c>
      <c r="D60" s="46"/>
      <c r="E60" s="46"/>
      <c r="F60" s="46"/>
      <c r="G60" s="43"/>
      <c r="H60" s="37">
        <f t="shared" si="0"/>
        <v>0</v>
      </c>
      <c r="I60" s="44"/>
      <c r="J60" s="44"/>
      <c r="K60" s="44"/>
      <c r="L60" s="44"/>
      <c r="M60" s="44"/>
      <c r="N60" s="44"/>
      <c r="O60" s="40">
        <f t="shared" si="3"/>
        <v>0</v>
      </c>
    </row>
    <row r="61" spans="1:15" ht="92.4" x14ac:dyDescent="0.3">
      <c r="A61" s="14"/>
      <c r="B61" s="15"/>
      <c r="C61" s="20" t="s">
        <v>125</v>
      </c>
      <c r="D61" s="46"/>
      <c r="E61" s="46"/>
      <c r="F61" s="46">
        <f>O61</f>
        <v>61000</v>
      </c>
      <c r="G61" s="43"/>
      <c r="H61" s="37">
        <f t="shared" si="0"/>
        <v>61000</v>
      </c>
      <c r="I61" s="44"/>
      <c r="J61" s="44">
        <v>10000</v>
      </c>
      <c r="K61" s="44">
        <v>20000</v>
      </c>
      <c r="L61" s="44">
        <v>20000</v>
      </c>
      <c r="M61" s="44">
        <v>8000</v>
      </c>
      <c r="N61" s="44">
        <v>3000</v>
      </c>
      <c r="O61" s="40">
        <f t="shared" si="3"/>
        <v>61000</v>
      </c>
    </row>
    <row r="62" spans="1:15" ht="66" x14ac:dyDescent="0.3">
      <c r="A62" s="14"/>
      <c r="B62" s="15"/>
      <c r="C62" s="20" t="s">
        <v>126</v>
      </c>
      <c r="D62" s="46"/>
      <c r="E62" s="46"/>
      <c r="F62" s="46">
        <f>O62</f>
        <v>61000</v>
      </c>
      <c r="G62" s="43"/>
      <c r="H62" s="37">
        <f t="shared" si="0"/>
        <v>61000</v>
      </c>
      <c r="I62" s="44"/>
      <c r="J62" s="44">
        <v>10000</v>
      </c>
      <c r="K62" s="44">
        <v>20000</v>
      </c>
      <c r="L62" s="44">
        <v>20000</v>
      </c>
      <c r="M62" s="44">
        <v>8000</v>
      </c>
      <c r="N62" s="44">
        <v>3000</v>
      </c>
      <c r="O62" s="40">
        <f t="shared" si="3"/>
        <v>61000</v>
      </c>
    </row>
    <row r="63" spans="1:15" ht="66" x14ac:dyDescent="0.3">
      <c r="A63" s="14"/>
      <c r="B63" s="15"/>
      <c r="C63" s="20" t="s">
        <v>127</v>
      </c>
      <c r="D63" s="46"/>
      <c r="E63" s="46">
        <f>O63</f>
        <v>70000</v>
      </c>
      <c r="F63" s="46"/>
      <c r="G63" s="43"/>
      <c r="H63" s="37">
        <f t="shared" si="0"/>
        <v>70000</v>
      </c>
      <c r="I63" s="44">
        <v>10000</v>
      </c>
      <c r="J63" s="44">
        <v>15000</v>
      </c>
      <c r="K63" s="44">
        <v>15000</v>
      </c>
      <c r="L63" s="44">
        <v>10000</v>
      </c>
      <c r="M63" s="44">
        <v>5000</v>
      </c>
      <c r="N63" s="44">
        <v>15000</v>
      </c>
      <c r="O63" s="40">
        <f t="shared" si="3"/>
        <v>70000</v>
      </c>
    </row>
    <row r="64" spans="1:15" x14ac:dyDescent="0.3">
      <c r="A64" s="14"/>
      <c r="B64" s="15"/>
      <c r="C64" s="20" t="s">
        <v>128</v>
      </c>
      <c r="D64" s="46">
        <f>O64*0.5</f>
        <v>7000</v>
      </c>
      <c r="E64" s="46">
        <f>O64*0.5</f>
        <v>7000</v>
      </c>
      <c r="F64" s="46"/>
      <c r="G64" s="43"/>
      <c r="H64" s="37">
        <f t="shared" si="0"/>
        <v>14000</v>
      </c>
      <c r="I64" s="44"/>
      <c r="J64" s="44"/>
      <c r="K64" s="44">
        <v>7000</v>
      </c>
      <c r="L64" s="44"/>
      <c r="M64" s="44">
        <v>7000</v>
      </c>
      <c r="N64" s="44"/>
      <c r="O64" s="40">
        <f t="shared" si="3"/>
        <v>14000</v>
      </c>
    </row>
    <row r="65" spans="1:15" x14ac:dyDescent="0.3">
      <c r="A65" s="14"/>
      <c r="B65" s="15"/>
      <c r="C65" s="20" t="s">
        <v>129</v>
      </c>
      <c r="D65" s="46">
        <f>O65*0.5</f>
        <v>29000</v>
      </c>
      <c r="E65" s="46">
        <f>O65*0.5</f>
        <v>29000</v>
      </c>
      <c r="F65" s="46"/>
      <c r="G65" s="43"/>
      <c r="H65" s="37">
        <f t="shared" si="0"/>
        <v>58000</v>
      </c>
      <c r="I65" s="44">
        <v>8000</v>
      </c>
      <c r="J65" s="44">
        <v>10000</v>
      </c>
      <c r="K65" s="44">
        <v>10000</v>
      </c>
      <c r="L65" s="44">
        <v>10000</v>
      </c>
      <c r="M65" s="44">
        <v>10000</v>
      </c>
      <c r="N65" s="44">
        <v>10000</v>
      </c>
      <c r="O65" s="40">
        <f t="shared" si="3"/>
        <v>58000</v>
      </c>
    </row>
    <row r="66" spans="1:15" x14ac:dyDescent="0.3">
      <c r="A66" s="14"/>
      <c r="B66" s="25">
        <v>3300</v>
      </c>
      <c r="C66" s="26" t="s">
        <v>43</v>
      </c>
      <c r="D66" s="46"/>
      <c r="E66" s="46"/>
      <c r="F66" s="46"/>
      <c r="G66" s="43"/>
      <c r="H66" s="37">
        <f t="shared" si="0"/>
        <v>0</v>
      </c>
      <c r="I66" s="44"/>
      <c r="J66" s="44"/>
      <c r="K66" s="44"/>
      <c r="L66" s="44"/>
      <c r="M66" s="44"/>
      <c r="N66" s="44"/>
      <c r="O66" s="40">
        <f t="shared" si="3"/>
        <v>0</v>
      </c>
    </row>
    <row r="67" spans="1:15" x14ac:dyDescent="0.3">
      <c r="A67" s="14"/>
      <c r="B67" s="15">
        <v>3301</v>
      </c>
      <c r="C67" s="20" t="s">
        <v>44</v>
      </c>
      <c r="D67" s="46"/>
      <c r="E67" s="46"/>
      <c r="F67" s="46"/>
      <c r="G67" s="43"/>
      <c r="H67" s="37">
        <f t="shared" si="0"/>
        <v>0</v>
      </c>
      <c r="I67" s="44"/>
      <c r="J67" s="44"/>
      <c r="K67" s="44"/>
      <c r="L67" s="44"/>
      <c r="M67" s="44"/>
      <c r="N67" s="44"/>
      <c r="O67" s="40">
        <f t="shared" si="3"/>
        <v>0</v>
      </c>
    </row>
    <row r="68" spans="1:15" ht="39.6" x14ac:dyDescent="0.3">
      <c r="A68" s="14"/>
      <c r="B68" s="15"/>
      <c r="C68" s="20" t="s">
        <v>130</v>
      </c>
      <c r="D68" s="46"/>
      <c r="E68" s="46">
        <f>O68</f>
        <v>40000</v>
      </c>
      <c r="F68" s="46"/>
      <c r="G68" s="43"/>
      <c r="H68" s="37">
        <f t="shared" si="0"/>
        <v>40000</v>
      </c>
      <c r="I68" s="44">
        <v>4000</v>
      </c>
      <c r="J68" s="44">
        <v>8000</v>
      </c>
      <c r="K68" s="44">
        <v>8000</v>
      </c>
      <c r="L68" s="44">
        <v>8000</v>
      </c>
      <c r="M68" s="44">
        <v>8000</v>
      </c>
      <c r="N68" s="44">
        <v>4000</v>
      </c>
      <c r="O68" s="40">
        <f>SUM(I68:N68)</f>
        <v>40000</v>
      </c>
    </row>
    <row r="69" spans="1:15" x14ac:dyDescent="0.3">
      <c r="A69" s="14"/>
      <c r="B69" s="15"/>
      <c r="C69" s="20" t="s">
        <v>131</v>
      </c>
      <c r="D69" s="46">
        <f>O69</f>
        <v>20000</v>
      </c>
      <c r="E69" s="46"/>
      <c r="F69" s="46"/>
      <c r="G69" s="43"/>
      <c r="H69" s="37">
        <f t="shared" si="0"/>
        <v>20000</v>
      </c>
      <c r="I69" s="44">
        <v>20000</v>
      </c>
      <c r="J69" s="44"/>
      <c r="K69" s="44"/>
      <c r="L69" s="44"/>
      <c r="M69" s="44"/>
      <c r="N69" s="44"/>
      <c r="O69" s="40">
        <f t="shared" si="3"/>
        <v>20000</v>
      </c>
    </row>
    <row r="70" spans="1:15" ht="26.4" x14ac:dyDescent="0.3">
      <c r="A70" s="14"/>
      <c r="B70" s="15"/>
      <c r="C70" s="20" t="s">
        <v>132</v>
      </c>
      <c r="D70" s="46">
        <f>O70</f>
        <v>20000</v>
      </c>
      <c r="E70" s="46"/>
      <c r="F70" s="46"/>
      <c r="G70" s="43"/>
      <c r="H70" s="37">
        <f t="shared" si="0"/>
        <v>20000</v>
      </c>
      <c r="I70" s="44"/>
      <c r="J70" s="44">
        <v>20000</v>
      </c>
      <c r="K70" s="44"/>
      <c r="L70" s="44"/>
      <c r="M70" s="44"/>
      <c r="N70" s="44"/>
      <c r="O70" s="40">
        <f t="shared" si="3"/>
        <v>20000</v>
      </c>
    </row>
    <row r="71" spans="1:15" ht="26.4" x14ac:dyDescent="0.3">
      <c r="A71" s="14"/>
      <c r="B71" s="15"/>
      <c r="C71" s="20" t="s">
        <v>133</v>
      </c>
      <c r="D71" s="46">
        <f>O71</f>
        <v>20000</v>
      </c>
      <c r="E71" s="46"/>
      <c r="F71" s="46"/>
      <c r="G71" s="43"/>
      <c r="H71" s="37">
        <f t="shared" si="0"/>
        <v>20000</v>
      </c>
      <c r="I71" s="44"/>
      <c r="J71" s="44"/>
      <c r="K71" s="44">
        <v>20000</v>
      </c>
      <c r="L71" s="44"/>
      <c r="M71" s="44"/>
      <c r="N71" s="44"/>
      <c r="O71" s="40">
        <f t="shared" si="3"/>
        <v>20000</v>
      </c>
    </row>
    <row r="72" spans="1:15" ht="26.4" x14ac:dyDescent="0.3">
      <c r="A72" s="14"/>
      <c r="B72" s="15"/>
      <c r="C72" s="20" t="s">
        <v>134</v>
      </c>
      <c r="D72" s="46"/>
      <c r="E72" s="46"/>
      <c r="F72" s="46">
        <f>O72</f>
        <v>20000</v>
      </c>
      <c r="G72" s="43"/>
      <c r="H72" s="37">
        <f t="shared" si="0"/>
        <v>20000</v>
      </c>
      <c r="I72" s="44"/>
      <c r="J72" s="44"/>
      <c r="K72" s="44"/>
      <c r="L72" s="44">
        <v>20000</v>
      </c>
      <c r="M72" s="44"/>
      <c r="N72" s="44"/>
      <c r="O72" s="40">
        <f t="shared" si="3"/>
        <v>20000</v>
      </c>
    </row>
    <row r="73" spans="1:15" x14ac:dyDescent="0.3">
      <c r="A73" s="14"/>
      <c r="B73" s="15"/>
      <c r="C73" s="20" t="s">
        <v>135</v>
      </c>
      <c r="D73" s="46">
        <f>O73*0.2</f>
        <v>9200</v>
      </c>
      <c r="E73" s="46">
        <f>O73*0.2</f>
        <v>9200</v>
      </c>
      <c r="F73" s="46">
        <f>O73*0.6</f>
        <v>27600</v>
      </c>
      <c r="G73" s="43"/>
      <c r="H73" s="37">
        <f t="shared" si="0"/>
        <v>46000</v>
      </c>
      <c r="I73" s="44">
        <v>6000</v>
      </c>
      <c r="J73" s="44">
        <v>8000</v>
      </c>
      <c r="K73" s="44">
        <v>8000</v>
      </c>
      <c r="L73" s="44">
        <v>8000</v>
      </c>
      <c r="M73" s="44">
        <v>8000</v>
      </c>
      <c r="N73" s="44">
        <v>8000</v>
      </c>
      <c r="O73" s="40">
        <f t="shared" si="3"/>
        <v>46000</v>
      </c>
    </row>
    <row r="74" spans="1:15" x14ac:dyDescent="0.3">
      <c r="A74" s="14"/>
      <c r="B74" s="15"/>
      <c r="C74" s="20" t="s">
        <v>136</v>
      </c>
      <c r="D74" s="46">
        <f>O74</f>
        <v>20000</v>
      </c>
      <c r="E74" s="46"/>
      <c r="F74" s="46"/>
      <c r="G74" s="43"/>
      <c r="H74" s="37">
        <f t="shared" si="0"/>
        <v>20000</v>
      </c>
      <c r="I74" s="44"/>
      <c r="J74" s="44"/>
      <c r="K74" s="44"/>
      <c r="L74" s="44"/>
      <c r="M74" s="44"/>
      <c r="N74" s="44">
        <v>20000</v>
      </c>
      <c r="O74" s="40">
        <f t="shared" si="3"/>
        <v>20000</v>
      </c>
    </row>
    <row r="75" spans="1:15" x14ac:dyDescent="0.3">
      <c r="A75" s="22">
        <v>3999</v>
      </c>
      <c r="B75" s="23" t="s">
        <v>35</v>
      </c>
      <c r="C75" s="23"/>
      <c r="D75" s="46"/>
      <c r="E75" s="46"/>
      <c r="F75" s="46"/>
      <c r="G75" s="43"/>
      <c r="H75" s="37">
        <f t="shared" si="0"/>
        <v>0</v>
      </c>
      <c r="I75" s="44"/>
      <c r="J75" s="44"/>
      <c r="K75" s="44"/>
      <c r="L75" s="44"/>
      <c r="M75" s="44"/>
      <c r="N75" s="44"/>
      <c r="O75" s="40">
        <f t="shared" si="3"/>
        <v>0</v>
      </c>
    </row>
    <row r="76" spans="1:15" x14ac:dyDescent="0.3">
      <c r="A76" s="14"/>
      <c r="B76" s="14"/>
      <c r="C76" s="13"/>
      <c r="D76" s="46"/>
      <c r="E76" s="46"/>
      <c r="F76" s="46"/>
      <c r="G76" s="43"/>
      <c r="H76" s="37">
        <f t="shared" si="0"/>
        <v>0</v>
      </c>
      <c r="I76" s="44"/>
      <c r="J76" s="44"/>
      <c r="K76" s="44"/>
      <c r="L76" s="44"/>
      <c r="M76" s="44"/>
      <c r="N76" s="44"/>
      <c r="O76" s="40">
        <f t="shared" si="3"/>
        <v>0</v>
      </c>
    </row>
    <row r="77" spans="1:15" x14ac:dyDescent="0.3">
      <c r="A77" s="12">
        <v>40</v>
      </c>
      <c r="B77" s="24" t="s">
        <v>45</v>
      </c>
      <c r="C77" s="24"/>
      <c r="D77" s="46"/>
      <c r="E77" s="46"/>
      <c r="F77" s="46"/>
      <c r="G77" s="43"/>
      <c r="H77" s="37">
        <f t="shared" ref="H77:H99" si="9">SUM(D77:G77)</f>
        <v>0</v>
      </c>
      <c r="I77" s="44"/>
      <c r="J77" s="44"/>
      <c r="K77" s="44"/>
      <c r="L77" s="44"/>
      <c r="M77" s="44"/>
      <c r="N77" s="44"/>
      <c r="O77" s="40">
        <f t="shared" si="3"/>
        <v>0</v>
      </c>
    </row>
    <row r="78" spans="1:15" x14ac:dyDescent="0.3">
      <c r="A78" s="14"/>
      <c r="B78" s="25">
        <v>4100</v>
      </c>
      <c r="C78" s="28" t="s">
        <v>46</v>
      </c>
      <c r="D78" s="46"/>
      <c r="E78" s="46"/>
      <c r="F78" s="46"/>
      <c r="G78" s="43"/>
      <c r="H78" s="37">
        <f t="shared" si="9"/>
        <v>0</v>
      </c>
      <c r="I78" s="44"/>
      <c r="J78" s="44"/>
      <c r="K78" s="44"/>
      <c r="L78" s="44"/>
      <c r="M78" s="44"/>
      <c r="N78" s="44"/>
      <c r="O78" s="40">
        <f t="shared" si="3"/>
        <v>0</v>
      </c>
    </row>
    <row r="79" spans="1:15" ht="26.4" x14ac:dyDescent="0.3">
      <c r="A79" s="14"/>
      <c r="B79" s="15">
        <v>4101</v>
      </c>
      <c r="C79" s="21" t="s">
        <v>47</v>
      </c>
      <c r="D79" s="46">
        <f>O79*0.3</f>
        <v>1800</v>
      </c>
      <c r="E79" s="46">
        <f>O79*0.2</f>
        <v>1200</v>
      </c>
      <c r="F79" s="46">
        <f>O79*0.5</f>
        <v>3000</v>
      </c>
      <c r="G79" s="43"/>
      <c r="H79" s="37">
        <f t="shared" si="9"/>
        <v>6000</v>
      </c>
      <c r="I79" s="44">
        <v>1000</v>
      </c>
      <c r="J79" s="44">
        <v>1000</v>
      </c>
      <c r="K79" s="44">
        <v>1000</v>
      </c>
      <c r="L79" s="44">
        <v>1000</v>
      </c>
      <c r="M79" s="44">
        <v>1000</v>
      </c>
      <c r="N79" s="44">
        <v>1000</v>
      </c>
      <c r="O79" s="40">
        <f t="shared" si="3"/>
        <v>6000</v>
      </c>
    </row>
    <row r="80" spans="1:15" ht="26.4" x14ac:dyDescent="0.3">
      <c r="A80" s="14"/>
      <c r="B80" s="15">
        <v>4102</v>
      </c>
      <c r="C80" s="20" t="s">
        <v>48</v>
      </c>
      <c r="D80" s="46"/>
      <c r="E80" s="46"/>
      <c r="F80" s="46"/>
      <c r="G80" s="43"/>
      <c r="H80" s="37">
        <f t="shared" si="9"/>
        <v>0</v>
      </c>
      <c r="I80" s="44"/>
      <c r="J80" s="44"/>
      <c r="K80" s="44"/>
      <c r="L80" s="44"/>
      <c r="M80" s="44"/>
      <c r="N80" s="44"/>
      <c r="O80" s="40">
        <f t="shared" si="3"/>
        <v>0</v>
      </c>
    </row>
    <row r="81" spans="1:15" x14ac:dyDescent="0.3">
      <c r="A81" s="14"/>
      <c r="B81" s="25">
        <v>4200</v>
      </c>
      <c r="C81" s="28" t="s">
        <v>49</v>
      </c>
      <c r="D81" s="46"/>
      <c r="E81" s="46"/>
      <c r="F81" s="46"/>
      <c r="G81" s="43"/>
      <c r="H81" s="37">
        <f t="shared" si="9"/>
        <v>0</v>
      </c>
      <c r="I81" s="44"/>
      <c r="J81" s="44"/>
      <c r="K81" s="44"/>
      <c r="L81" s="44"/>
      <c r="M81" s="44"/>
      <c r="N81" s="44"/>
      <c r="O81" s="40">
        <f t="shared" si="3"/>
        <v>0</v>
      </c>
    </row>
    <row r="82" spans="1:15" x14ac:dyDescent="0.3">
      <c r="A82" s="14"/>
      <c r="B82" s="15">
        <v>4201</v>
      </c>
      <c r="C82" s="20" t="s">
        <v>50</v>
      </c>
      <c r="D82" s="46">
        <f>O82*0.3</f>
        <v>15000</v>
      </c>
      <c r="E82" s="46">
        <f>O82*0.3</f>
        <v>15000</v>
      </c>
      <c r="F82" s="46">
        <f>O82*0.4</f>
        <v>20000</v>
      </c>
      <c r="G82" s="43"/>
      <c r="H82" s="37">
        <f t="shared" si="9"/>
        <v>50000</v>
      </c>
      <c r="I82" s="44">
        <v>40000</v>
      </c>
      <c r="J82" s="44"/>
      <c r="K82" s="44">
        <v>5000</v>
      </c>
      <c r="L82" s="44"/>
      <c r="M82" s="44">
        <v>5000</v>
      </c>
      <c r="N82" s="44"/>
      <c r="O82" s="40">
        <f t="shared" si="3"/>
        <v>50000</v>
      </c>
    </row>
    <row r="83" spans="1:15" x14ac:dyDescent="0.3">
      <c r="A83" s="14"/>
      <c r="B83" s="15">
        <v>4202</v>
      </c>
      <c r="C83" s="29" t="s">
        <v>51</v>
      </c>
      <c r="D83" s="46"/>
      <c r="E83" s="46"/>
      <c r="F83" s="46"/>
      <c r="G83" s="43"/>
      <c r="H83" s="37">
        <f t="shared" si="9"/>
        <v>0</v>
      </c>
      <c r="I83" s="44"/>
      <c r="J83" s="44"/>
      <c r="K83" s="44"/>
      <c r="L83" s="44"/>
      <c r="M83" s="44"/>
      <c r="N83" s="44"/>
      <c r="O83" s="40">
        <f t="shared" si="3"/>
        <v>0</v>
      </c>
    </row>
    <row r="84" spans="1:15" x14ac:dyDescent="0.3">
      <c r="A84" s="14"/>
      <c r="B84" s="25">
        <v>4300</v>
      </c>
      <c r="C84" s="28" t="s">
        <v>52</v>
      </c>
      <c r="D84" s="46"/>
      <c r="E84" s="46"/>
      <c r="F84" s="46"/>
      <c r="G84" s="43"/>
      <c r="H84" s="37">
        <f t="shared" si="9"/>
        <v>0</v>
      </c>
      <c r="I84" s="44"/>
      <c r="J84" s="44"/>
      <c r="K84" s="44"/>
      <c r="L84" s="44"/>
      <c r="M84" s="44"/>
      <c r="N84" s="44"/>
      <c r="O84" s="40">
        <f t="shared" si="3"/>
        <v>0</v>
      </c>
    </row>
    <row r="85" spans="1:15" x14ac:dyDescent="0.3">
      <c r="A85" s="14"/>
      <c r="B85" s="15">
        <v>4301</v>
      </c>
      <c r="C85" s="30" t="s">
        <v>53</v>
      </c>
      <c r="D85" s="46"/>
      <c r="E85" s="46"/>
      <c r="F85" s="46"/>
      <c r="G85" s="43"/>
      <c r="H85" s="37">
        <f t="shared" si="9"/>
        <v>0</v>
      </c>
      <c r="I85" s="44"/>
      <c r="J85" s="44"/>
      <c r="K85" s="44"/>
      <c r="L85" s="44"/>
      <c r="M85" s="44"/>
      <c r="N85" s="44"/>
      <c r="O85" s="40">
        <f t="shared" si="3"/>
        <v>0</v>
      </c>
    </row>
    <row r="86" spans="1:15" x14ac:dyDescent="0.3">
      <c r="A86" s="12"/>
      <c r="B86" s="15">
        <v>4302</v>
      </c>
      <c r="C86" s="30" t="s">
        <v>54</v>
      </c>
      <c r="D86" s="46"/>
      <c r="E86" s="46"/>
      <c r="F86" s="46"/>
      <c r="G86" s="43"/>
      <c r="H86" s="37">
        <f t="shared" si="9"/>
        <v>0</v>
      </c>
      <c r="I86" s="44"/>
      <c r="J86" s="44"/>
      <c r="K86" s="44"/>
      <c r="L86" s="44"/>
      <c r="M86" s="44"/>
      <c r="N86" s="44"/>
      <c r="O86" s="40">
        <f t="shared" si="3"/>
        <v>0</v>
      </c>
    </row>
    <row r="87" spans="1:15" x14ac:dyDescent="0.3">
      <c r="A87" s="22">
        <v>4999</v>
      </c>
      <c r="B87" s="23" t="s">
        <v>35</v>
      </c>
      <c r="C87" s="31"/>
      <c r="D87" s="46"/>
      <c r="E87" s="46"/>
      <c r="F87" s="46"/>
      <c r="G87" s="43"/>
      <c r="H87" s="37">
        <f t="shared" si="9"/>
        <v>0</v>
      </c>
      <c r="I87" s="44"/>
      <c r="J87" s="44"/>
      <c r="K87" s="44"/>
      <c r="L87" s="44"/>
      <c r="M87" s="44"/>
      <c r="N87" s="44"/>
      <c r="O87" s="40">
        <f t="shared" ref="O87:O101" si="10">SUM(I87:N87)</f>
        <v>0</v>
      </c>
    </row>
    <row r="88" spans="1:15" x14ac:dyDescent="0.3">
      <c r="A88" s="14"/>
      <c r="B88" s="14"/>
      <c r="C88" s="13"/>
      <c r="D88" s="46"/>
      <c r="E88" s="46"/>
      <c r="F88" s="46"/>
      <c r="G88" s="43"/>
      <c r="H88" s="37">
        <f t="shared" si="9"/>
        <v>0</v>
      </c>
      <c r="I88" s="44"/>
      <c r="J88" s="44"/>
      <c r="K88" s="44"/>
      <c r="L88" s="44"/>
      <c r="M88" s="44"/>
      <c r="N88" s="44"/>
      <c r="O88" s="40">
        <f t="shared" si="10"/>
        <v>0</v>
      </c>
    </row>
    <row r="89" spans="1:15" x14ac:dyDescent="0.3">
      <c r="A89" s="12">
        <v>50</v>
      </c>
      <c r="B89" s="24" t="s">
        <v>55</v>
      </c>
      <c r="C89" s="24"/>
      <c r="D89" s="46"/>
      <c r="E89" s="46"/>
      <c r="F89" s="46"/>
      <c r="G89" s="43"/>
      <c r="H89" s="37">
        <f t="shared" si="9"/>
        <v>0</v>
      </c>
      <c r="I89" s="44"/>
      <c r="J89" s="44"/>
      <c r="K89" s="44"/>
      <c r="L89" s="44"/>
      <c r="M89" s="44"/>
      <c r="N89" s="44"/>
      <c r="O89" s="40">
        <f t="shared" si="10"/>
        <v>0</v>
      </c>
    </row>
    <row r="90" spans="1:15" x14ac:dyDescent="0.3">
      <c r="A90" s="14"/>
      <c r="B90" s="12">
        <v>5100</v>
      </c>
      <c r="C90" s="13" t="s">
        <v>56</v>
      </c>
      <c r="D90" s="46"/>
      <c r="E90" s="46"/>
      <c r="F90" s="46"/>
      <c r="G90" s="43"/>
      <c r="H90" s="37">
        <f t="shared" si="9"/>
        <v>0</v>
      </c>
      <c r="I90" s="44"/>
      <c r="J90" s="44"/>
      <c r="K90" s="44"/>
      <c r="L90" s="44"/>
      <c r="M90" s="44"/>
      <c r="N90" s="44"/>
      <c r="O90" s="40">
        <f t="shared" si="10"/>
        <v>0</v>
      </c>
    </row>
    <row r="91" spans="1:15" x14ac:dyDescent="0.3">
      <c r="A91" s="14"/>
      <c r="B91" s="15">
        <v>5101</v>
      </c>
      <c r="C91" s="32" t="s">
        <v>57</v>
      </c>
      <c r="D91" s="46"/>
      <c r="E91" s="46">
        <f>O91*0.2</f>
        <v>1600</v>
      </c>
      <c r="F91" s="46">
        <f>O91*0.8</f>
        <v>6400</v>
      </c>
      <c r="G91" s="43"/>
      <c r="H91" s="37">
        <f t="shared" si="9"/>
        <v>8000</v>
      </c>
      <c r="I91" s="44">
        <v>1000</v>
      </c>
      <c r="J91" s="44">
        <v>1500</v>
      </c>
      <c r="K91" s="44">
        <v>1500</v>
      </c>
      <c r="L91" s="44">
        <v>1500</v>
      </c>
      <c r="M91" s="44">
        <v>1500</v>
      </c>
      <c r="N91" s="44">
        <v>1000</v>
      </c>
      <c r="O91" s="40">
        <f t="shared" si="10"/>
        <v>8000</v>
      </c>
    </row>
    <row r="92" spans="1:15" x14ac:dyDescent="0.3">
      <c r="A92" s="14"/>
      <c r="B92" s="12">
        <v>5200</v>
      </c>
      <c r="C92" s="13" t="s">
        <v>58</v>
      </c>
      <c r="D92" s="46"/>
      <c r="E92" s="46"/>
      <c r="F92" s="46"/>
      <c r="G92" s="43"/>
      <c r="H92" s="37">
        <f t="shared" si="9"/>
        <v>0</v>
      </c>
      <c r="I92" s="44"/>
      <c r="J92" s="44"/>
      <c r="K92" s="44"/>
      <c r="L92" s="44"/>
      <c r="M92" s="44"/>
      <c r="N92" s="44"/>
      <c r="O92" s="40">
        <f t="shared" si="10"/>
        <v>0</v>
      </c>
    </row>
    <row r="93" spans="1:15" ht="39.6" x14ac:dyDescent="0.3">
      <c r="A93" s="14"/>
      <c r="B93" s="15">
        <v>5201</v>
      </c>
      <c r="C93" s="20" t="s">
        <v>59</v>
      </c>
      <c r="D93" s="46">
        <f>O93*0.2</f>
        <v>21200</v>
      </c>
      <c r="E93" s="46">
        <f>O93*0.2</f>
        <v>21200</v>
      </c>
      <c r="F93" s="46">
        <f>O93*0.6</f>
        <v>63600</v>
      </c>
      <c r="G93" s="43"/>
      <c r="H93" s="37">
        <f t="shared" si="9"/>
        <v>106000</v>
      </c>
      <c r="I93" s="44">
        <v>10000</v>
      </c>
      <c r="J93" s="44">
        <v>19000</v>
      </c>
      <c r="K93" s="44">
        <v>19000</v>
      </c>
      <c r="L93" s="44">
        <v>19000</v>
      </c>
      <c r="M93" s="44">
        <v>19000</v>
      </c>
      <c r="N93" s="44">
        <v>20000</v>
      </c>
      <c r="O93" s="40">
        <f t="shared" si="10"/>
        <v>106000</v>
      </c>
    </row>
    <row r="94" spans="1:15" x14ac:dyDescent="0.3">
      <c r="A94" s="14"/>
      <c r="B94" s="15">
        <v>5202</v>
      </c>
      <c r="C94" s="20" t="s">
        <v>60</v>
      </c>
      <c r="D94" s="46">
        <f>O94*0.363</f>
        <v>9075</v>
      </c>
      <c r="E94" s="46">
        <f>O94*0.41</f>
        <v>10250</v>
      </c>
      <c r="F94" s="46">
        <f>O94*0.227</f>
        <v>5675</v>
      </c>
      <c r="G94" s="43"/>
      <c r="H94" s="37">
        <f t="shared" si="9"/>
        <v>25000</v>
      </c>
      <c r="I94" s="44"/>
      <c r="J94" s="44">
        <v>5000</v>
      </c>
      <c r="K94" s="44">
        <v>5000</v>
      </c>
      <c r="L94" s="44">
        <v>5000</v>
      </c>
      <c r="M94" s="44">
        <v>5000</v>
      </c>
      <c r="N94" s="44">
        <v>5000</v>
      </c>
      <c r="O94" s="40">
        <f>SUM(I94:N94)</f>
        <v>25000</v>
      </c>
    </row>
    <row r="95" spans="1:15" x14ac:dyDescent="0.3">
      <c r="A95" s="14"/>
      <c r="B95" s="12">
        <v>5300</v>
      </c>
      <c r="C95" s="13" t="s">
        <v>61</v>
      </c>
      <c r="D95" s="46"/>
      <c r="E95" s="46"/>
      <c r="F95" s="46"/>
      <c r="G95" s="43"/>
      <c r="H95" s="37">
        <f t="shared" si="9"/>
        <v>0</v>
      </c>
      <c r="I95" s="44"/>
      <c r="J95" s="44"/>
      <c r="K95" s="44"/>
      <c r="L95" s="44"/>
      <c r="M95" s="44"/>
      <c r="N95" s="44"/>
      <c r="O95" s="40">
        <f t="shared" si="10"/>
        <v>0</v>
      </c>
    </row>
    <row r="96" spans="1:15" ht="26.4" x14ac:dyDescent="0.3">
      <c r="A96" s="14"/>
      <c r="B96" s="15">
        <v>5301</v>
      </c>
      <c r="C96" s="20" t="s">
        <v>62</v>
      </c>
      <c r="D96" s="46">
        <f>O96*0.42825</f>
        <v>5044.3567499999999</v>
      </c>
      <c r="E96" s="46">
        <f>O96*0.17325</f>
        <v>2040.7117499999999</v>
      </c>
      <c r="F96" s="46">
        <f>O96*0.2353</f>
        <v>2771.5987</v>
      </c>
      <c r="G96" s="46">
        <f>O96*0.1632</f>
        <v>1922.3328000000001</v>
      </c>
      <c r="H96" s="37">
        <f t="shared" si="9"/>
        <v>11779</v>
      </c>
      <c r="I96" s="44">
        <v>1514</v>
      </c>
      <c r="J96" s="44">
        <v>2100</v>
      </c>
      <c r="K96" s="44">
        <v>2100</v>
      </c>
      <c r="L96" s="44">
        <v>2200</v>
      </c>
      <c r="M96" s="44">
        <v>2200</v>
      </c>
      <c r="N96" s="44">
        <v>1665</v>
      </c>
      <c r="O96" s="40">
        <f t="shared" si="10"/>
        <v>11779</v>
      </c>
    </row>
    <row r="97" spans="1:15" x14ac:dyDescent="0.3">
      <c r="A97" s="14"/>
      <c r="B97" s="15">
        <v>5302</v>
      </c>
      <c r="C97" s="20" t="s">
        <v>63</v>
      </c>
      <c r="D97" s="46">
        <f>O97*0.1</f>
        <v>6000</v>
      </c>
      <c r="E97" s="46">
        <f>O97*0.6</f>
        <v>36000</v>
      </c>
      <c r="F97" s="46">
        <f>O97*0.3</f>
        <v>18000</v>
      </c>
      <c r="G97" s="43"/>
      <c r="H97" s="37">
        <f t="shared" si="9"/>
        <v>60000</v>
      </c>
      <c r="I97" s="44">
        <v>10000</v>
      </c>
      <c r="J97" s="44">
        <v>10000</v>
      </c>
      <c r="K97" s="44">
        <v>10000</v>
      </c>
      <c r="L97" s="44">
        <v>10000</v>
      </c>
      <c r="M97" s="44">
        <v>10000</v>
      </c>
      <c r="N97" s="44">
        <v>10000</v>
      </c>
      <c r="O97" s="40">
        <f>SUM(I97:N97)</f>
        <v>60000</v>
      </c>
    </row>
    <row r="98" spans="1:15" ht="26.4" x14ac:dyDescent="0.3">
      <c r="A98" s="14"/>
      <c r="B98" s="15">
        <v>5303</v>
      </c>
      <c r="C98" s="20" t="s">
        <v>141</v>
      </c>
      <c r="D98" s="46">
        <f>O98*0.3</f>
        <v>13500</v>
      </c>
      <c r="E98" s="46">
        <f>O98*0.05</f>
        <v>2250</v>
      </c>
      <c r="F98" s="46">
        <f>O98*0.45</f>
        <v>20250</v>
      </c>
      <c r="G98" s="46">
        <f>O98*0.2</f>
        <v>9000</v>
      </c>
      <c r="H98" s="37">
        <f t="shared" si="9"/>
        <v>45000</v>
      </c>
      <c r="I98" s="44"/>
      <c r="J98" s="44"/>
      <c r="K98" s="44">
        <v>45000</v>
      </c>
      <c r="L98" s="44"/>
      <c r="M98" s="44"/>
      <c r="O98" s="40">
        <f t="shared" si="10"/>
        <v>45000</v>
      </c>
    </row>
    <row r="99" spans="1:15" ht="26.4" x14ac:dyDescent="0.3">
      <c r="A99" s="14"/>
      <c r="B99" s="15">
        <v>5303</v>
      </c>
      <c r="C99" s="20" t="s">
        <v>142</v>
      </c>
      <c r="D99" s="46">
        <f>O99*0.31173</f>
        <v>14027.85</v>
      </c>
      <c r="E99" s="46">
        <f>O99*0.00812</f>
        <v>365.40000000000003</v>
      </c>
      <c r="F99" s="46">
        <f>O99*0.4617</f>
        <v>20776.5</v>
      </c>
      <c r="G99" s="46">
        <f>O99*0.21845</f>
        <v>9830.25</v>
      </c>
      <c r="H99" s="37">
        <f t="shared" si="9"/>
        <v>45000</v>
      </c>
      <c r="I99" s="44"/>
      <c r="J99" s="44"/>
      <c r="K99" s="44"/>
      <c r="L99" s="44"/>
      <c r="M99" s="44"/>
      <c r="N99" s="44">
        <v>45000</v>
      </c>
      <c r="O99" s="40">
        <f t="shared" si="10"/>
        <v>45000</v>
      </c>
    </row>
    <row r="100" spans="1:15" ht="26.4" x14ac:dyDescent="0.3">
      <c r="A100" s="14"/>
      <c r="B100" s="15">
        <v>5375</v>
      </c>
      <c r="C100" s="21" t="s">
        <v>138</v>
      </c>
      <c r="D100" s="46">
        <f>O100*0.15</f>
        <v>46320.9</v>
      </c>
      <c r="E100" s="46">
        <f>O100*0.23</f>
        <v>71025.38</v>
      </c>
      <c r="F100" s="46">
        <f>O100*0.26</f>
        <v>80289.56</v>
      </c>
      <c r="G100" s="46">
        <f>O100*0.36</f>
        <v>111170.15999999999</v>
      </c>
      <c r="H100" s="37">
        <f>SUM(D100:G100)</f>
        <v>308806</v>
      </c>
      <c r="I100" s="44">
        <v>32372</v>
      </c>
      <c r="J100" s="44">
        <v>60744</v>
      </c>
      <c r="K100" s="44">
        <v>60744</v>
      </c>
      <c r="L100" s="44">
        <v>60830</v>
      </c>
      <c r="M100" s="44">
        <v>61744</v>
      </c>
      <c r="N100" s="44">
        <v>32372</v>
      </c>
      <c r="O100" s="40">
        <f t="shared" si="10"/>
        <v>308806</v>
      </c>
    </row>
    <row r="101" spans="1:15" x14ac:dyDescent="0.3">
      <c r="A101" s="22">
        <v>5999</v>
      </c>
      <c r="B101" s="23" t="s">
        <v>35</v>
      </c>
      <c r="C101" s="23"/>
      <c r="D101" s="43"/>
      <c r="E101" s="43"/>
      <c r="F101" s="43"/>
      <c r="G101" s="43"/>
      <c r="H101" s="37">
        <f t="shared" ref="H101" si="11">SUM(I101:N101)</f>
        <v>0</v>
      </c>
      <c r="I101" s="44"/>
      <c r="J101" s="44"/>
      <c r="K101" s="44"/>
      <c r="L101" s="44"/>
      <c r="M101" s="44"/>
      <c r="N101" s="44"/>
      <c r="O101" s="40">
        <f t="shared" si="10"/>
        <v>0</v>
      </c>
    </row>
    <row r="102" spans="1:15" x14ac:dyDescent="0.3">
      <c r="A102" s="33">
        <v>99</v>
      </c>
      <c r="B102" s="33" t="s">
        <v>65</v>
      </c>
      <c r="C102" s="34"/>
      <c r="D102" s="55">
        <f>SUM(D13:D100)</f>
        <v>1215600.7151710221</v>
      </c>
      <c r="E102" s="55">
        <f>SUM(E13:E100)</f>
        <v>935257.82405475411</v>
      </c>
      <c r="F102" s="55">
        <f>SUM(F13:F100)</f>
        <v>2750858.861833754</v>
      </c>
      <c r="G102" s="55">
        <f>SUM(G13:G100)</f>
        <v>245086.97259014996</v>
      </c>
      <c r="H102" s="47">
        <f>SUM(H13:H100)</f>
        <v>5146804.3736496801</v>
      </c>
      <c r="I102" s="46">
        <f t="shared" ref="I102:N102" si="12">SUM(I13:I100)</f>
        <v>498486</v>
      </c>
      <c r="J102" s="46">
        <f t="shared" si="12"/>
        <v>1235015</v>
      </c>
      <c r="K102" s="46">
        <f t="shared" si="12"/>
        <v>1149867.68</v>
      </c>
      <c r="L102" s="46">
        <f t="shared" si="12"/>
        <v>985539.39039999992</v>
      </c>
      <c r="M102" s="46">
        <f t="shared" si="12"/>
        <v>828532.67211199994</v>
      </c>
      <c r="N102" s="46">
        <f t="shared" si="12"/>
        <v>449363.63113768003</v>
      </c>
      <c r="O102" s="46">
        <f>SUM(O13:O100)</f>
        <v>5146804.3736496801</v>
      </c>
    </row>
    <row r="103" spans="1:15" x14ac:dyDescent="0.3">
      <c r="G103" s="35"/>
      <c r="H103" s="36"/>
    </row>
    <row r="104" spans="1:15" x14ac:dyDescent="0.3">
      <c r="C104" s="51"/>
      <c r="D104" s="53"/>
      <c r="E104" s="53"/>
      <c r="F104" s="54"/>
      <c r="G104" s="54"/>
      <c r="H104" s="54"/>
      <c r="I104" s="36"/>
      <c r="J104" s="36"/>
    </row>
    <row r="105" spans="1:15" x14ac:dyDescent="0.3">
      <c r="D105" s="35"/>
      <c r="E105" s="35"/>
      <c r="F105" s="35"/>
      <c r="G105" s="35"/>
      <c r="H105" s="36"/>
      <c r="I105" s="35"/>
    </row>
    <row r="106" spans="1:15" x14ac:dyDescent="0.3">
      <c r="D106" s="53"/>
      <c r="E106" s="53"/>
      <c r="F106" s="54"/>
      <c r="G106" s="54"/>
      <c r="H106" s="36"/>
      <c r="I106" s="36"/>
      <c r="J106" s="36"/>
      <c r="K106" s="36"/>
      <c r="L106" s="36"/>
    </row>
    <row r="107" spans="1:15" x14ac:dyDescent="0.3">
      <c r="D107" s="36"/>
      <c r="E107" s="36"/>
      <c r="F107" s="36"/>
      <c r="G107" s="35"/>
      <c r="H107" s="36"/>
      <c r="I107" s="36"/>
      <c r="J107" s="67"/>
      <c r="K107" s="67"/>
    </row>
    <row r="108" spans="1:15" x14ac:dyDescent="0.3">
      <c r="G108" s="36"/>
      <c r="H108" s="54"/>
      <c r="I108" s="36"/>
      <c r="K108" s="67"/>
    </row>
    <row r="109" spans="1:15" x14ac:dyDescent="0.3">
      <c r="K109" s="67"/>
    </row>
    <row r="110" spans="1:15" x14ac:dyDescent="0.3">
      <c r="H110" s="36"/>
    </row>
  </sheetData>
  <mergeCells count="11">
    <mergeCell ref="A2:O2"/>
    <mergeCell ref="A4:C4"/>
    <mergeCell ref="I4:O4"/>
    <mergeCell ref="I5:O5"/>
    <mergeCell ref="A6:C6"/>
    <mergeCell ref="I6:O6"/>
    <mergeCell ref="B7:C7"/>
    <mergeCell ref="I7:O7"/>
    <mergeCell ref="B8:C8"/>
    <mergeCell ref="I8:O8"/>
    <mergeCell ref="A10:C10"/>
  </mergeCell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61"/>
  <sheetViews>
    <sheetView topLeftCell="A43" workbookViewId="0">
      <selection activeCell="B69" sqref="B69"/>
    </sheetView>
  </sheetViews>
  <sheetFormatPr baseColWidth="10" defaultRowHeight="14.4" x14ac:dyDescent="0.3"/>
  <cols>
    <col min="1" max="1" width="4" customWidth="1"/>
    <col min="2" max="2" width="45.5546875" customWidth="1"/>
    <col min="3" max="3" width="7.5546875" bestFit="1" customWidth="1"/>
    <col min="4" max="7" width="8.44140625" bestFit="1" customWidth="1"/>
    <col min="8" max="8" width="8" bestFit="1" customWidth="1"/>
    <col min="9" max="9" width="8.88671875" bestFit="1" customWidth="1"/>
  </cols>
  <sheetData>
    <row r="2" spans="2:9" ht="26.4" x14ac:dyDescent="0.3">
      <c r="C2" s="10" t="s">
        <v>23</v>
      </c>
      <c r="D2" s="10" t="s">
        <v>15</v>
      </c>
      <c r="E2" s="10" t="s">
        <v>16</v>
      </c>
      <c r="F2" s="10" t="s">
        <v>17</v>
      </c>
      <c r="G2" s="10" t="s">
        <v>18</v>
      </c>
      <c r="H2" s="10" t="s">
        <v>19</v>
      </c>
      <c r="I2" s="11" t="s">
        <v>10</v>
      </c>
    </row>
    <row r="3" spans="2:9" ht="66" x14ac:dyDescent="0.3">
      <c r="B3" s="20" t="s">
        <v>67</v>
      </c>
      <c r="C3" s="44">
        <v>50000</v>
      </c>
      <c r="D3" s="44">
        <v>90000</v>
      </c>
      <c r="E3" s="44">
        <v>60000</v>
      </c>
      <c r="F3" s="44">
        <v>20000</v>
      </c>
      <c r="G3" s="44">
        <v>15000</v>
      </c>
      <c r="H3" s="44">
        <v>10000</v>
      </c>
      <c r="I3" s="40">
        <f t="shared" ref="I3:I51" si="0">SUM(C3:H3)</f>
        <v>245000</v>
      </c>
    </row>
    <row r="4" spans="2:9" ht="39.6" x14ac:dyDescent="0.3">
      <c r="B4" s="20" t="s">
        <v>68</v>
      </c>
      <c r="C4" s="44">
        <v>30000</v>
      </c>
      <c r="D4" s="44">
        <v>120000</v>
      </c>
      <c r="E4" s="44">
        <v>42000</v>
      </c>
      <c r="F4" s="44"/>
      <c r="G4" s="44"/>
      <c r="H4" s="44"/>
      <c r="I4" s="40">
        <f t="shared" si="0"/>
        <v>192000</v>
      </c>
    </row>
    <row r="5" spans="2:9" ht="26.4" x14ac:dyDescent="0.3">
      <c r="B5" s="20" t="s">
        <v>69</v>
      </c>
      <c r="C5" s="44">
        <v>30000</v>
      </c>
      <c r="D5" s="44">
        <v>150000</v>
      </c>
      <c r="E5" s="44">
        <v>40000</v>
      </c>
      <c r="F5" s="44"/>
      <c r="G5" s="44"/>
      <c r="H5" s="44"/>
      <c r="I5" s="40">
        <f t="shared" si="0"/>
        <v>220000</v>
      </c>
    </row>
    <row r="6" spans="2:9" ht="79.2" x14ac:dyDescent="0.3">
      <c r="B6" s="20" t="s">
        <v>100</v>
      </c>
      <c r="C6" s="44"/>
      <c r="D6" s="44">
        <v>50000</v>
      </c>
      <c r="E6" s="44">
        <v>30000</v>
      </c>
      <c r="F6" s="44"/>
      <c r="G6" s="44"/>
      <c r="H6" s="44"/>
      <c r="I6" s="40">
        <f t="shared" ref="I6:I7" si="1">SUM(C6:H6)</f>
        <v>80000</v>
      </c>
    </row>
    <row r="7" spans="2:9" ht="39.6" x14ac:dyDescent="0.3">
      <c r="B7" s="20" t="s">
        <v>92</v>
      </c>
      <c r="C7" s="44">
        <v>10000</v>
      </c>
      <c r="D7" s="44">
        <v>35000</v>
      </c>
      <c r="E7" s="44"/>
      <c r="F7" s="44"/>
      <c r="G7" s="44"/>
      <c r="H7" s="44"/>
      <c r="I7" s="40">
        <f t="shared" si="1"/>
        <v>45000</v>
      </c>
    </row>
    <row r="8" spans="2:9" ht="66" x14ac:dyDescent="0.3">
      <c r="B8" s="20" t="s">
        <v>93</v>
      </c>
      <c r="C8" s="44">
        <v>15000</v>
      </c>
      <c r="D8" s="44">
        <v>30000</v>
      </c>
      <c r="E8" s="44">
        <v>32000</v>
      </c>
      <c r="F8" s="44">
        <v>34000</v>
      </c>
      <c r="G8" s="44">
        <v>36000</v>
      </c>
      <c r="H8" s="44">
        <v>20000</v>
      </c>
      <c r="I8" s="40">
        <f t="shared" si="0"/>
        <v>167000</v>
      </c>
    </row>
    <row r="9" spans="2:9" ht="52.8" x14ac:dyDescent="0.3">
      <c r="B9" s="20" t="s">
        <v>83</v>
      </c>
      <c r="C9" s="44"/>
      <c r="D9" s="44"/>
      <c r="E9" s="44"/>
      <c r="F9" s="44">
        <v>20000</v>
      </c>
      <c r="G9" s="44">
        <v>20000</v>
      </c>
      <c r="H9" s="44">
        <v>6000</v>
      </c>
      <c r="I9" s="40">
        <f t="shared" ref="I9:I14" si="2">SUM(C9:H9)</f>
        <v>46000</v>
      </c>
    </row>
    <row r="10" spans="2:9" ht="92.4" x14ac:dyDescent="0.3">
      <c r="B10" s="20" t="s">
        <v>90</v>
      </c>
      <c r="C10" s="44"/>
      <c r="D10" s="44">
        <v>15000</v>
      </c>
      <c r="E10" s="44">
        <v>7000</v>
      </c>
      <c r="F10" s="44">
        <v>7000</v>
      </c>
      <c r="G10" s="44">
        <v>7000</v>
      </c>
      <c r="H10" s="44"/>
      <c r="I10" s="40">
        <f t="shared" si="2"/>
        <v>36000</v>
      </c>
    </row>
    <row r="11" spans="2:9" ht="92.4" x14ac:dyDescent="0.3">
      <c r="B11" s="20" t="s">
        <v>94</v>
      </c>
      <c r="C11" s="44">
        <v>15000</v>
      </c>
      <c r="D11" s="44">
        <v>80000</v>
      </c>
      <c r="E11" s="44">
        <v>20000</v>
      </c>
      <c r="F11" s="44"/>
      <c r="G11" s="44"/>
      <c r="H11" s="44"/>
      <c r="I11" s="40">
        <f t="shared" si="2"/>
        <v>115000</v>
      </c>
    </row>
    <row r="12" spans="2:9" ht="39.6" x14ac:dyDescent="0.3">
      <c r="B12" s="20" t="s">
        <v>84</v>
      </c>
      <c r="C12" s="44"/>
      <c r="D12" s="44"/>
      <c r="E12" s="44">
        <v>7000</v>
      </c>
      <c r="F12" s="44"/>
      <c r="G12" s="44"/>
      <c r="H12" s="44"/>
      <c r="I12" s="40">
        <f t="shared" si="2"/>
        <v>7000</v>
      </c>
    </row>
    <row r="13" spans="2:9" ht="52.8" x14ac:dyDescent="0.3">
      <c r="B13" s="20" t="s">
        <v>101</v>
      </c>
      <c r="C13" s="44"/>
      <c r="D13" s="44">
        <v>45000</v>
      </c>
      <c r="E13" s="44">
        <v>20000</v>
      </c>
      <c r="F13" s="44">
        <v>20000</v>
      </c>
      <c r="G13" s="44">
        <v>15000</v>
      </c>
      <c r="H13" s="44"/>
      <c r="I13" s="40">
        <f t="shared" si="2"/>
        <v>100000</v>
      </c>
    </row>
    <row r="14" spans="2:9" ht="26.4" x14ac:dyDescent="0.3">
      <c r="B14" s="20" t="s">
        <v>95</v>
      </c>
      <c r="C14" s="44">
        <v>7000</v>
      </c>
      <c r="D14" s="44">
        <v>5000</v>
      </c>
      <c r="E14" s="44"/>
      <c r="F14" s="44"/>
      <c r="G14" s="44"/>
      <c r="H14" s="44"/>
      <c r="I14" s="40">
        <f t="shared" si="2"/>
        <v>12000</v>
      </c>
    </row>
    <row r="15" spans="2:9" ht="26.4" x14ac:dyDescent="0.3">
      <c r="B15" s="20" t="s">
        <v>96</v>
      </c>
      <c r="C15" s="44">
        <v>25000</v>
      </c>
      <c r="D15" s="44">
        <v>60000</v>
      </c>
      <c r="E15" s="44"/>
      <c r="F15" s="44"/>
      <c r="G15" s="44"/>
      <c r="H15" s="44"/>
      <c r="I15" s="40">
        <f t="shared" si="0"/>
        <v>85000</v>
      </c>
    </row>
    <row r="16" spans="2:9" ht="39.6" x14ac:dyDescent="0.3">
      <c r="B16" s="20" t="s">
        <v>97</v>
      </c>
      <c r="C16" s="44"/>
      <c r="D16" s="44">
        <v>10000</v>
      </c>
      <c r="E16" s="44">
        <v>10000</v>
      </c>
      <c r="F16" s="44">
        <v>10000</v>
      </c>
      <c r="G16" s="44"/>
      <c r="H16" s="44"/>
      <c r="I16" s="40">
        <f t="shared" ref="I16" si="3">SUM(C16:H16)</f>
        <v>30000</v>
      </c>
    </row>
    <row r="17" spans="2:9" ht="52.8" x14ac:dyDescent="0.3">
      <c r="B17" s="20" t="s">
        <v>98</v>
      </c>
      <c r="C17" s="44"/>
      <c r="D17" s="44"/>
      <c r="E17" s="44"/>
      <c r="F17" s="44">
        <v>7000</v>
      </c>
      <c r="G17" s="44"/>
      <c r="H17" s="44"/>
      <c r="I17" s="40">
        <f t="shared" si="0"/>
        <v>7000</v>
      </c>
    </row>
    <row r="18" spans="2:9" x14ac:dyDescent="0.3">
      <c r="B18" s="20" t="s">
        <v>91</v>
      </c>
      <c r="C18" s="44">
        <v>5000</v>
      </c>
      <c r="D18" s="44">
        <v>5000</v>
      </c>
      <c r="E18" s="44">
        <v>5000</v>
      </c>
      <c r="F18" s="44">
        <v>5000</v>
      </c>
      <c r="G18" s="44">
        <v>5000</v>
      </c>
      <c r="H18" s="44">
        <v>5000</v>
      </c>
      <c r="I18" s="40">
        <f t="shared" si="0"/>
        <v>30000</v>
      </c>
    </row>
    <row r="19" spans="2:9" x14ac:dyDescent="0.3">
      <c r="B19" s="13" t="s">
        <v>33</v>
      </c>
      <c r="C19" s="44"/>
      <c r="D19" s="44"/>
      <c r="E19" s="44"/>
      <c r="F19" s="44"/>
      <c r="G19" s="44"/>
      <c r="H19" s="44"/>
      <c r="I19" s="40">
        <f t="shared" si="0"/>
        <v>0</v>
      </c>
    </row>
    <row r="20" spans="2:9" x14ac:dyDescent="0.3">
      <c r="B20" s="21" t="s">
        <v>34</v>
      </c>
      <c r="C20" s="44">
        <v>20000</v>
      </c>
      <c r="D20" s="44">
        <v>35000</v>
      </c>
      <c r="E20" s="44">
        <v>40000</v>
      </c>
      <c r="F20" s="44">
        <v>40000</v>
      </c>
      <c r="G20" s="44">
        <v>40000</v>
      </c>
      <c r="H20" s="44">
        <v>20000</v>
      </c>
      <c r="I20" s="40">
        <f t="shared" si="0"/>
        <v>195000</v>
      </c>
    </row>
    <row r="21" spans="2:9" x14ac:dyDescent="0.3">
      <c r="B21" s="26" t="s">
        <v>66</v>
      </c>
      <c r="C21" s="44"/>
      <c r="D21" s="44"/>
      <c r="E21" s="44"/>
      <c r="F21" s="44"/>
      <c r="G21" s="44"/>
      <c r="H21" s="44"/>
      <c r="I21" s="40">
        <f t="shared" si="0"/>
        <v>0</v>
      </c>
    </row>
    <row r="22" spans="2:9" x14ac:dyDescent="0.3">
      <c r="B22" s="20" t="s">
        <v>37</v>
      </c>
      <c r="C22" s="44"/>
      <c r="D22" s="44"/>
      <c r="E22" s="44"/>
      <c r="F22" s="44"/>
      <c r="G22" s="44"/>
      <c r="H22" s="44"/>
      <c r="I22" s="40">
        <f t="shared" si="0"/>
        <v>0</v>
      </c>
    </row>
    <row r="23" spans="2:9" x14ac:dyDescent="0.3">
      <c r="B23" s="26" t="s">
        <v>38</v>
      </c>
      <c r="C23" s="44"/>
      <c r="D23" s="44"/>
      <c r="E23" s="44"/>
      <c r="F23" s="44"/>
      <c r="G23" s="44"/>
      <c r="H23" s="44"/>
      <c r="I23" s="40">
        <f t="shared" si="0"/>
        <v>0</v>
      </c>
    </row>
    <row r="24" spans="2:9" x14ac:dyDescent="0.3">
      <c r="B24" s="20" t="s">
        <v>39</v>
      </c>
      <c r="C24" s="44"/>
      <c r="D24" s="44"/>
      <c r="E24" s="44"/>
      <c r="F24" s="44"/>
      <c r="G24" s="44"/>
      <c r="H24" s="44"/>
      <c r="I24" s="40">
        <f t="shared" si="0"/>
        <v>0</v>
      </c>
    </row>
    <row r="25" spans="2:9" ht="39.6" x14ac:dyDescent="0.3">
      <c r="B25" s="20" t="s">
        <v>85</v>
      </c>
      <c r="C25" s="44">
        <v>25000</v>
      </c>
      <c r="D25" s="44">
        <v>50000</v>
      </c>
      <c r="E25" s="44">
        <v>50000</v>
      </c>
      <c r="F25" s="44">
        <v>50000</v>
      </c>
      <c r="G25" s="44">
        <v>40000</v>
      </c>
      <c r="H25" s="44">
        <v>25000</v>
      </c>
      <c r="I25" s="40">
        <f t="shared" si="0"/>
        <v>240000</v>
      </c>
    </row>
    <row r="26" spans="2:9" ht="52.8" x14ac:dyDescent="0.3">
      <c r="B26" s="20" t="s">
        <v>89</v>
      </c>
      <c r="C26" s="44"/>
      <c r="D26" s="44"/>
      <c r="E26" s="44">
        <v>170000</v>
      </c>
      <c r="F26" s="44">
        <v>170000</v>
      </c>
      <c r="G26" s="44">
        <v>120000</v>
      </c>
      <c r="H26" s="44">
        <v>30000</v>
      </c>
      <c r="I26" s="40">
        <f t="shared" si="0"/>
        <v>490000</v>
      </c>
    </row>
    <row r="27" spans="2:9" ht="39.6" x14ac:dyDescent="0.3">
      <c r="B27" s="52" t="s">
        <v>81</v>
      </c>
      <c r="C27" s="44"/>
      <c r="D27" s="44"/>
      <c r="E27" s="44"/>
      <c r="F27" s="44">
        <v>45000</v>
      </c>
      <c r="G27" s="44">
        <v>25000</v>
      </c>
      <c r="H27" s="44"/>
      <c r="I27" s="40">
        <f t="shared" si="0"/>
        <v>70000</v>
      </c>
    </row>
    <row r="28" spans="2:9" ht="52.8" x14ac:dyDescent="0.3">
      <c r="B28" s="20" t="s">
        <v>82</v>
      </c>
      <c r="C28" s="44"/>
      <c r="D28" s="44">
        <v>10000</v>
      </c>
      <c r="E28" s="44">
        <v>40000</v>
      </c>
      <c r="F28" s="44">
        <v>50000</v>
      </c>
      <c r="G28" s="44">
        <v>50000</v>
      </c>
      <c r="H28" s="44"/>
      <c r="I28" s="40">
        <f t="shared" si="0"/>
        <v>150000</v>
      </c>
    </row>
    <row r="29" spans="2:9" ht="66" x14ac:dyDescent="0.3">
      <c r="B29" s="20" t="s">
        <v>88</v>
      </c>
      <c r="C29" s="44"/>
      <c r="D29" s="44">
        <v>25000</v>
      </c>
      <c r="E29" s="44">
        <v>50000</v>
      </c>
      <c r="F29" s="44">
        <v>50000</v>
      </c>
      <c r="G29" s="44">
        <v>50000</v>
      </c>
      <c r="H29" s="44">
        <v>10000</v>
      </c>
      <c r="I29" s="40">
        <f t="shared" si="0"/>
        <v>185000</v>
      </c>
    </row>
    <row r="30" spans="2:9" ht="52.8" x14ac:dyDescent="0.3">
      <c r="B30" s="20" t="s">
        <v>102</v>
      </c>
      <c r="C30" s="44">
        <v>10000</v>
      </c>
      <c r="D30" s="44">
        <v>20000</v>
      </c>
      <c r="E30" s="44">
        <v>20000</v>
      </c>
      <c r="F30" s="44">
        <v>20000</v>
      </c>
      <c r="G30" s="44">
        <v>20000</v>
      </c>
      <c r="H30" s="44">
        <v>20000</v>
      </c>
      <c r="I30" s="40">
        <f t="shared" si="0"/>
        <v>110000</v>
      </c>
    </row>
    <row r="31" spans="2:9" x14ac:dyDescent="0.3">
      <c r="B31" s="28" t="s">
        <v>41</v>
      </c>
      <c r="C31" s="44"/>
      <c r="D31" s="44"/>
      <c r="E31" s="44"/>
      <c r="F31" s="44"/>
      <c r="G31" s="44"/>
      <c r="H31" s="44"/>
      <c r="I31" s="40">
        <f t="shared" si="0"/>
        <v>0</v>
      </c>
    </row>
    <row r="32" spans="2:9" x14ac:dyDescent="0.3">
      <c r="B32" s="20" t="s">
        <v>42</v>
      </c>
      <c r="C32" s="44"/>
      <c r="D32" s="44"/>
      <c r="E32" s="44"/>
      <c r="F32" s="44"/>
      <c r="G32" s="44"/>
      <c r="H32" s="44"/>
      <c r="I32" s="40">
        <f t="shared" si="0"/>
        <v>0</v>
      </c>
    </row>
    <row r="33" spans="2:9" ht="52.8" x14ac:dyDescent="0.3">
      <c r="B33" s="20" t="s">
        <v>70</v>
      </c>
      <c r="C33" s="44"/>
      <c r="D33" s="44">
        <v>10000</v>
      </c>
      <c r="E33" s="44">
        <v>20000</v>
      </c>
      <c r="F33" s="44">
        <v>20000</v>
      </c>
      <c r="G33" s="44">
        <v>8000</v>
      </c>
      <c r="H33" s="44">
        <v>3000</v>
      </c>
      <c r="I33" s="40">
        <f t="shared" si="0"/>
        <v>61000</v>
      </c>
    </row>
    <row r="34" spans="2:9" ht="39.6" x14ac:dyDescent="0.3">
      <c r="B34" s="20" t="s">
        <v>71</v>
      </c>
      <c r="C34" s="44"/>
      <c r="D34" s="44">
        <v>10000</v>
      </c>
      <c r="E34" s="44">
        <v>20000</v>
      </c>
      <c r="F34" s="44">
        <v>20000</v>
      </c>
      <c r="G34" s="44">
        <v>8000</v>
      </c>
      <c r="H34" s="44">
        <v>3000</v>
      </c>
      <c r="I34" s="40">
        <f t="shared" si="0"/>
        <v>61000</v>
      </c>
    </row>
    <row r="35" spans="2:9" ht="39.6" x14ac:dyDescent="0.3">
      <c r="B35" s="20" t="s">
        <v>86</v>
      </c>
      <c r="C35" s="44"/>
      <c r="D35" s="44">
        <v>15000</v>
      </c>
      <c r="E35" s="44"/>
      <c r="F35" s="44"/>
      <c r="G35" s="44"/>
      <c r="H35" s="44">
        <v>15000</v>
      </c>
      <c r="I35" s="40">
        <f t="shared" si="0"/>
        <v>30000</v>
      </c>
    </row>
    <row r="36" spans="2:9" x14ac:dyDescent="0.3">
      <c r="B36" s="20" t="s">
        <v>72</v>
      </c>
      <c r="C36" s="44"/>
      <c r="D36" s="44"/>
      <c r="E36" s="44">
        <v>10000</v>
      </c>
      <c r="F36" s="44">
        <v>80000</v>
      </c>
      <c r="G36" s="44"/>
      <c r="H36" s="44"/>
      <c r="I36" s="40">
        <f t="shared" si="0"/>
        <v>90000</v>
      </c>
    </row>
    <row r="37" spans="2:9" x14ac:dyDescent="0.3">
      <c r="B37" s="20" t="s">
        <v>73</v>
      </c>
      <c r="C37" s="44"/>
      <c r="D37" s="44"/>
      <c r="E37" s="44">
        <v>7000</v>
      </c>
      <c r="F37" s="44"/>
      <c r="G37" s="44">
        <v>7000</v>
      </c>
      <c r="H37" s="44"/>
      <c r="I37" s="40">
        <f t="shared" si="0"/>
        <v>14000</v>
      </c>
    </row>
    <row r="38" spans="2:9" x14ac:dyDescent="0.3">
      <c r="B38" s="20" t="s">
        <v>74</v>
      </c>
      <c r="C38" s="44">
        <v>5000</v>
      </c>
      <c r="D38" s="44">
        <v>9000</v>
      </c>
      <c r="E38" s="44">
        <v>9000</v>
      </c>
      <c r="F38" s="44">
        <v>9000</v>
      </c>
      <c r="G38" s="44">
        <v>9000</v>
      </c>
      <c r="H38" s="44">
        <v>10000</v>
      </c>
      <c r="I38" s="40">
        <f t="shared" si="0"/>
        <v>51000</v>
      </c>
    </row>
    <row r="39" spans="2:9" x14ac:dyDescent="0.3">
      <c r="B39" s="26" t="s">
        <v>43</v>
      </c>
      <c r="C39" s="44"/>
      <c r="D39" s="44"/>
      <c r="E39" s="44"/>
      <c r="F39" s="44"/>
      <c r="G39" s="44"/>
      <c r="H39" s="44"/>
      <c r="I39" s="40">
        <f t="shared" si="0"/>
        <v>0</v>
      </c>
    </row>
    <row r="40" spans="2:9" x14ac:dyDescent="0.3">
      <c r="B40" s="20" t="s">
        <v>44</v>
      </c>
      <c r="C40" s="44"/>
      <c r="D40" s="44"/>
      <c r="E40" s="44"/>
      <c r="F40" s="44"/>
      <c r="G40" s="44"/>
      <c r="H40" s="44"/>
      <c r="I40" s="40">
        <f t="shared" si="0"/>
        <v>0</v>
      </c>
    </row>
    <row r="41" spans="2:9" x14ac:dyDescent="0.3">
      <c r="B41" s="20" t="s">
        <v>87</v>
      </c>
      <c r="C41" s="44">
        <v>4000</v>
      </c>
      <c r="D41" s="44">
        <v>8000</v>
      </c>
      <c r="E41" s="44">
        <v>8000</v>
      </c>
      <c r="F41" s="44">
        <v>8000</v>
      </c>
      <c r="G41" s="44">
        <v>8000</v>
      </c>
      <c r="H41" s="44">
        <v>4000</v>
      </c>
      <c r="I41" s="40"/>
    </row>
    <row r="42" spans="2:9" x14ac:dyDescent="0.3">
      <c r="B42" s="20" t="s">
        <v>75</v>
      </c>
      <c r="C42" s="44">
        <v>20000</v>
      </c>
      <c r="D42" s="44"/>
      <c r="E42" s="44"/>
      <c r="F42" s="44"/>
      <c r="G42" s="44"/>
      <c r="H42" s="44"/>
      <c r="I42" s="40">
        <f t="shared" si="0"/>
        <v>20000</v>
      </c>
    </row>
    <row r="43" spans="2:9" x14ac:dyDescent="0.3">
      <c r="B43" s="20" t="s">
        <v>76</v>
      </c>
      <c r="C43" s="44"/>
      <c r="D43" s="44">
        <v>20000</v>
      </c>
      <c r="E43" s="44"/>
      <c r="F43" s="44"/>
      <c r="G43" s="44"/>
      <c r="H43" s="44"/>
      <c r="I43" s="40">
        <f t="shared" si="0"/>
        <v>20000</v>
      </c>
    </row>
    <row r="44" spans="2:9" x14ac:dyDescent="0.3">
      <c r="B44" s="20" t="s">
        <v>77</v>
      </c>
      <c r="C44" s="44"/>
      <c r="D44" s="44"/>
      <c r="E44" s="44">
        <v>20000</v>
      </c>
      <c r="F44" s="44"/>
      <c r="G44" s="44"/>
      <c r="H44" s="44"/>
      <c r="I44" s="40">
        <f t="shared" si="0"/>
        <v>20000</v>
      </c>
    </row>
    <row r="45" spans="2:9" x14ac:dyDescent="0.3">
      <c r="B45" s="20" t="s">
        <v>78</v>
      </c>
      <c r="C45" s="44"/>
      <c r="D45" s="44"/>
      <c r="E45" s="44"/>
      <c r="F45" s="44">
        <v>20000</v>
      </c>
      <c r="G45" s="44"/>
      <c r="H45" s="44"/>
      <c r="I45" s="40">
        <f t="shared" si="0"/>
        <v>20000</v>
      </c>
    </row>
    <row r="46" spans="2:9" x14ac:dyDescent="0.3">
      <c r="B46" s="20" t="s">
        <v>80</v>
      </c>
      <c r="C46" s="44">
        <v>6000</v>
      </c>
      <c r="D46" s="44">
        <v>8000</v>
      </c>
      <c r="E46" s="44">
        <v>8000</v>
      </c>
      <c r="F46" s="44">
        <v>8000</v>
      </c>
      <c r="G46" s="44">
        <v>8000</v>
      </c>
      <c r="H46" s="44">
        <v>8000</v>
      </c>
      <c r="I46" s="40">
        <f t="shared" si="0"/>
        <v>46000</v>
      </c>
    </row>
    <row r="47" spans="2:9" x14ac:dyDescent="0.3">
      <c r="B47" s="20" t="s">
        <v>79</v>
      </c>
      <c r="C47" s="44"/>
      <c r="D47" s="44"/>
      <c r="E47" s="44"/>
      <c r="F47" s="44"/>
      <c r="G47" s="44"/>
      <c r="H47" s="44">
        <v>20000</v>
      </c>
      <c r="I47" s="40">
        <f t="shared" si="0"/>
        <v>20000</v>
      </c>
    </row>
    <row r="48" spans="2:9" x14ac:dyDescent="0.3">
      <c r="B48" s="21" t="s">
        <v>47</v>
      </c>
      <c r="C48" s="44">
        <v>1000</v>
      </c>
      <c r="D48" s="44">
        <v>1000</v>
      </c>
      <c r="E48" s="44">
        <v>1000</v>
      </c>
      <c r="F48" s="44">
        <v>1000</v>
      </c>
      <c r="G48" s="44">
        <v>1000</v>
      </c>
      <c r="H48" s="44">
        <v>1000</v>
      </c>
      <c r="I48" s="40">
        <f t="shared" si="0"/>
        <v>6000</v>
      </c>
    </row>
    <row r="49" spans="2:9" x14ac:dyDescent="0.3">
      <c r="B49" s="20" t="s">
        <v>48</v>
      </c>
      <c r="C49" s="44"/>
      <c r="D49" s="44"/>
      <c r="E49" s="44"/>
      <c r="F49" s="44"/>
      <c r="G49" s="44"/>
      <c r="H49" s="44"/>
      <c r="I49" s="40">
        <f t="shared" si="0"/>
        <v>0</v>
      </c>
    </row>
    <row r="50" spans="2:9" x14ac:dyDescent="0.3">
      <c r="B50" s="28" t="s">
        <v>49</v>
      </c>
      <c r="C50" s="44"/>
      <c r="D50" s="44"/>
      <c r="E50" s="44"/>
      <c r="F50" s="44"/>
      <c r="G50" s="44"/>
      <c r="H50" s="44"/>
      <c r="I50" s="40">
        <f t="shared" si="0"/>
        <v>0</v>
      </c>
    </row>
    <row r="51" spans="2:9" x14ac:dyDescent="0.3">
      <c r="B51" s="20" t="s">
        <v>50</v>
      </c>
      <c r="C51" s="44">
        <v>40000</v>
      </c>
      <c r="D51" s="44"/>
      <c r="E51" s="44">
        <v>5000</v>
      </c>
      <c r="F51" s="44"/>
      <c r="G51" s="44">
        <v>5000</v>
      </c>
      <c r="H51" s="44"/>
      <c r="I51" s="40">
        <f t="shared" si="0"/>
        <v>50000</v>
      </c>
    </row>
    <row r="52" spans="2:9" x14ac:dyDescent="0.3">
      <c r="B52" s="32" t="s">
        <v>57</v>
      </c>
      <c r="C52" s="44">
        <v>1000</v>
      </c>
      <c r="D52" s="44">
        <v>1500</v>
      </c>
      <c r="E52" s="44">
        <v>1500</v>
      </c>
      <c r="F52" s="44">
        <v>1500</v>
      </c>
      <c r="G52" s="44">
        <v>1500</v>
      </c>
      <c r="H52" s="44">
        <v>1000</v>
      </c>
      <c r="I52" s="40">
        <f t="shared" ref="I52:I61" si="4">SUM(C52:H52)</f>
        <v>8000</v>
      </c>
    </row>
    <row r="53" spans="2:9" x14ac:dyDescent="0.3">
      <c r="B53" s="13" t="s">
        <v>58</v>
      </c>
      <c r="C53" s="44"/>
      <c r="D53" s="44"/>
      <c r="E53" s="44"/>
      <c r="F53" s="44"/>
      <c r="G53" s="44"/>
      <c r="H53" s="44"/>
      <c r="I53" s="40">
        <f t="shared" si="4"/>
        <v>0</v>
      </c>
    </row>
    <row r="54" spans="2:9" ht="26.4" x14ac:dyDescent="0.3">
      <c r="B54" s="20" t="s">
        <v>59</v>
      </c>
      <c r="C54" s="44">
        <v>10000</v>
      </c>
      <c r="D54" s="44">
        <v>19000</v>
      </c>
      <c r="E54" s="44">
        <v>19000</v>
      </c>
      <c r="F54" s="44">
        <v>19000</v>
      </c>
      <c r="G54" s="44">
        <v>19000</v>
      </c>
      <c r="H54" s="44">
        <v>20000</v>
      </c>
      <c r="I54" s="40">
        <f t="shared" si="4"/>
        <v>106000</v>
      </c>
    </row>
    <row r="55" spans="2:9" x14ac:dyDescent="0.3">
      <c r="B55" s="20" t="s">
        <v>60</v>
      </c>
      <c r="C55" s="44"/>
      <c r="D55" s="44">
        <v>5000</v>
      </c>
      <c r="E55" s="44">
        <v>5000</v>
      </c>
      <c r="F55" s="44">
        <v>5000</v>
      </c>
      <c r="G55" s="44">
        <v>5000</v>
      </c>
      <c r="H55" s="44">
        <v>5000</v>
      </c>
      <c r="I55" s="40">
        <f t="shared" si="4"/>
        <v>25000</v>
      </c>
    </row>
    <row r="56" spans="2:9" x14ac:dyDescent="0.3">
      <c r="B56" s="13" t="s">
        <v>61</v>
      </c>
      <c r="C56" s="44"/>
      <c r="D56" s="44"/>
      <c r="E56" s="44"/>
      <c r="F56" s="44"/>
      <c r="G56" s="44"/>
      <c r="H56" s="44"/>
      <c r="I56" s="40">
        <f t="shared" si="4"/>
        <v>0</v>
      </c>
    </row>
    <row r="57" spans="2:9" x14ac:dyDescent="0.3">
      <c r="B57" s="20" t="s">
        <v>62</v>
      </c>
      <c r="C57" s="44">
        <v>1100</v>
      </c>
      <c r="D57" s="44">
        <v>1100</v>
      </c>
      <c r="E57" s="44">
        <v>1100</v>
      </c>
      <c r="F57" s="44">
        <v>1200</v>
      </c>
      <c r="G57" s="44">
        <v>1200</v>
      </c>
      <c r="H57" s="44">
        <v>1192</v>
      </c>
      <c r="I57" s="40">
        <f t="shared" si="4"/>
        <v>6892</v>
      </c>
    </row>
    <row r="58" spans="2:9" x14ac:dyDescent="0.3">
      <c r="B58" s="20" t="s">
        <v>63</v>
      </c>
      <c r="C58" s="44">
        <v>5000</v>
      </c>
      <c r="D58" s="44">
        <v>8000</v>
      </c>
      <c r="E58" s="44">
        <v>8000</v>
      </c>
      <c r="F58" s="44">
        <v>8000</v>
      </c>
      <c r="G58" s="44">
        <v>8000</v>
      </c>
      <c r="H58" s="44">
        <v>5000</v>
      </c>
      <c r="I58" s="40">
        <f t="shared" si="4"/>
        <v>42000</v>
      </c>
    </row>
    <row r="59" spans="2:9" ht="26.4" x14ac:dyDescent="0.3">
      <c r="B59" s="20" t="s">
        <v>64</v>
      </c>
      <c r="C59" s="44"/>
      <c r="D59" s="44"/>
      <c r="E59" s="44">
        <v>30000</v>
      </c>
      <c r="F59" s="44"/>
      <c r="G59" s="44"/>
      <c r="H59" s="44">
        <v>40000</v>
      </c>
      <c r="I59" s="40">
        <f t="shared" si="4"/>
        <v>70000</v>
      </c>
    </row>
    <row r="60" spans="2:9" ht="26.4" x14ac:dyDescent="0.3">
      <c r="B60" s="21" t="s">
        <v>99</v>
      </c>
      <c r="C60" s="44">
        <v>22000</v>
      </c>
      <c r="D60" s="44">
        <v>44000</v>
      </c>
      <c r="E60" s="44">
        <v>44000</v>
      </c>
      <c r="F60" s="44">
        <v>44000</v>
      </c>
      <c r="G60" s="44">
        <v>44000</v>
      </c>
      <c r="H60" s="44">
        <v>22000</v>
      </c>
      <c r="I60" s="40">
        <f t="shared" si="4"/>
        <v>220000</v>
      </c>
    </row>
    <row r="61" spans="2:9" x14ac:dyDescent="0.3">
      <c r="B61" s="23"/>
      <c r="C61" s="44"/>
      <c r="D61" s="44"/>
      <c r="E61" s="44"/>
      <c r="F61" s="44"/>
      <c r="G61" s="44"/>
      <c r="H61" s="44"/>
      <c r="I61" s="40">
        <f t="shared" si="4"/>
        <v>0</v>
      </c>
    </row>
  </sheetData>
  <pageMargins left="0.7" right="0.7" top="0.75" bottom="0.75" header="0.3" footer="0.3"/>
  <pageSetup orientation="landscape"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Chile</GEFCountry>
    <Classification xmlns="ceb00776-aa5c-4fc8-b6fe-5f035152e4b6">Public</Classification>
    <Country1 xmlns="ceb00776-aa5c-4fc8-b6fe-5f035152e4b6" xsi:nil="true"/>
    <DocPrefix xmlns="ceb00776-aa5c-4fc8-b6fe-5f035152e4b6">Annexes/appendixes to the project documents</DocPrefix>
    <GEFID xmlns="ceb00776-aa5c-4fc8-b6fe-5f035152e4b6">9766</GEFID>
    <ProjectType xmlns="ceb00776-aa5c-4fc8-b6fe-5f035152e4b6">FSP</ProjectType>
    <GEFProjectID xmlns="ceb00776-aa5c-4fc8-b6fe-5f035152e4b6">0ba0696a-df7c-e811-8124-3863bb2e1360</GEFProjectID>
    <DocActive xmlns="ceb00776-aa5c-4fc8-b6fe-5f035152e4b6">No</DocActive>
    <DocCategory xmlns="ceb00776-aa5c-4fc8-b6fe-5f035152e4b6">Project Document</DocCategory>
    <FocalArea xmlns="ceb00776-aa5c-4fc8-b6fe-5f035152e4b6">Multi Focal Area</FocalArea>
    <DocType xmlns="ceb00776-aa5c-4fc8-b6fe-5f035152e4b6">CEO Endorsement Project Justification Stakeholder</DocType>
    <ProjectTitle xmlns="ceb00776-aa5c-4fc8-b6fe-5f035152e4b6">Mainstreaming Conservation of Coastal Wetlands of Chile’s South Center Biodiversity Hotspot through Adaptive Management of Coastal Area Ecosystems</ProjectTitle>
    <TrustFundType xmlns="ceb00776-aa5c-4fc8-b6fe-5f035152e4b6">GET</TrustFundType>
    <TaxCatchAll xmlns="3e02667f-0271-471b-bd6e-11a2e16def1d"/>
    <DocumentTitle xmlns="ceb00776-aa5c-4fc8-b6fe-5f035152e4b6">9766 Appendix 1 GEF Budget_24_05</DocumentTitle>
  </documentManagement>
</p:properties>
</file>

<file path=customXml/itemProps1.xml><?xml version="1.0" encoding="utf-8"?>
<ds:datastoreItem xmlns:ds="http://schemas.openxmlformats.org/officeDocument/2006/customXml" ds:itemID="{94D69982-9B76-4646-854E-18354A7D6FB8}"/>
</file>

<file path=customXml/itemProps2.xml><?xml version="1.0" encoding="utf-8"?>
<ds:datastoreItem xmlns:ds="http://schemas.openxmlformats.org/officeDocument/2006/customXml" ds:itemID="{277E3948-D048-4F11-BBC0-B0F7142E736E}"/>
</file>

<file path=customXml/itemProps3.xml><?xml version="1.0" encoding="utf-8"?>
<ds:datastoreItem xmlns:ds="http://schemas.openxmlformats.org/officeDocument/2006/customXml" ds:itemID="{06CC1994-24A4-42B5-94AC-A5A1B1223697}"/>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Maka</dc:creator>
  <cp:lastModifiedBy>Maka</cp:lastModifiedBy>
  <cp:lastPrinted>2019-03-27T17:27:20Z</cp:lastPrinted>
  <dcterms:created xsi:type="dcterms:W3CDTF">2018-11-02T20:03:33Z</dcterms:created>
  <dcterms:modified xsi:type="dcterms:W3CDTF">2019-05-24T18:35:59Z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